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426"/>
  <workbookPr date1904="1" showInkAnnotation="0" autoCompressPictures="0"/>
  <mc:AlternateContent xmlns:mc="http://schemas.openxmlformats.org/markup-compatibility/2006">
    <mc:Choice Requires="x15">
      <x15ac:absPath xmlns:x15ac="http://schemas.microsoft.com/office/spreadsheetml/2010/11/ac" url="/Users/phlindert/Desktop/Lindert PP≠ xl files for gpih/"/>
    </mc:Choice>
  </mc:AlternateContent>
  <bookViews>
    <workbookView xWindow="460" yWindow="2040" windowWidth="25600" windowHeight="14420" tabRatio="693" activeTab="1"/>
  </bookViews>
  <sheets>
    <sheet name="Sources and notes" sheetId="3" r:id="rId1"/>
    <sheet name="Summary comparisons" sheetId="2" r:id="rId2"/>
    <sheet name="Japan v Eng 1602-1648" sheetId="5" r:id="rId3"/>
    <sheet name="Japan vs GB 1713-1870" sheetId="1" r:id="rId4"/>
    <sheet name="Japan vs GB 1888-1912" sheetId="4" r:id="rId5"/>
  </sheet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X44" i="1" l="1"/>
  <c r="X46" i="1"/>
  <c r="X39" i="1"/>
  <c r="V44" i="1"/>
  <c r="V45" i="1"/>
  <c r="V46" i="1"/>
  <c r="V39" i="1"/>
  <c r="X12" i="1"/>
  <c r="P20" i="1"/>
  <c r="X20" i="1"/>
  <c r="P21" i="1"/>
  <c r="X21" i="1"/>
  <c r="P27" i="1"/>
  <c r="X27" i="1"/>
  <c r="X32" i="1"/>
  <c r="X34" i="1"/>
  <c r="P36" i="1"/>
  <c r="X36" i="1"/>
  <c r="X41" i="1"/>
  <c r="X38" i="1"/>
  <c r="AA11" i="1"/>
  <c r="U11" i="1"/>
  <c r="V11" i="1"/>
  <c r="U16" i="1"/>
  <c r="V16" i="1"/>
  <c r="V17" i="1"/>
  <c r="AA19" i="1"/>
  <c r="U19" i="1"/>
  <c r="V19" i="1"/>
  <c r="AA20" i="1"/>
  <c r="U20" i="1"/>
  <c r="V20" i="1"/>
  <c r="U22" i="1"/>
  <c r="V22" i="1"/>
  <c r="V23" i="1"/>
  <c r="U25" i="1"/>
  <c r="V25" i="1"/>
  <c r="AA32" i="1"/>
  <c r="U32" i="1"/>
  <c r="V32" i="1"/>
  <c r="V34" i="1"/>
  <c r="V41" i="1"/>
  <c r="V38" i="1"/>
  <c r="Y31" i="5"/>
  <c r="S31" i="5"/>
  <c r="AD44" i="1"/>
  <c r="AD12" i="1"/>
  <c r="AD20" i="1"/>
  <c r="AD21" i="1"/>
  <c r="AD27" i="1"/>
  <c r="AD32" i="1"/>
  <c r="AD34" i="1"/>
  <c r="AD36" i="1"/>
  <c r="AD41" i="1"/>
  <c r="AD74" i="1"/>
  <c r="AB44" i="1"/>
  <c r="AB11" i="1"/>
  <c r="AB16" i="1"/>
  <c r="AB17" i="1"/>
  <c r="AB19" i="1"/>
  <c r="AB20" i="1"/>
  <c r="AB22" i="1"/>
  <c r="AB23" i="1"/>
  <c r="AA25" i="1"/>
  <c r="AB25" i="1"/>
  <c r="AB32" i="1"/>
  <c r="AB34" i="1"/>
  <c r="AB41" i="1"/>
  <c r="AB74" i="1"/>
  <c r="AB75" i="1"/>
  <c r="AD75" i="1"/>
  <c r="AC77" i="1"/>
  <c r="Y41" i="1"/>
  <c r="Y46" i="1"/>
  <c r="V47" i="1"/>
  <c r="X47" i="1"/>
  <c r="Y47" i="1"/>
  <c r="S36" i="1"/>
  <c r="S12" i="1"/>
  <c r="S20" i="1"/>
  <c r="S21" i="1"/>
  <c r="S27" i="1"/>
  <c r="S38" i="1"/>
  <c r="R36" i="1"/>
  <c r="R12" i="1"/>
  <c r="R20" i="1"/>
  <c r="R21" i="1"/>
  <c r="R27" i="1"/>
  <c r="R38" i="1"/>
  <c r="AE42" i="4"/>
  <c r="AB42" i="4"/>
  <c r="P46" i="5"/>
  <c r="P47" i="5"/>
  <c r="P48" i="5"/>
  <c r="O11" i="5"/>
  <c r="P11" i="5"/>
  <c r="O16" i="5"/>
  <c r="P16" i="5"/>
  <c r="P17" i="5"/>
  <c r="P19" i="5"/>
  <c r="O20" i="5"/>
  <c r="P20" i="5"/>
  <c r="O22" i="5"/>
  <c r="P22" i="5"/>
  <c r="P23" i="5"/>
  <c r="P25" i="5"/>
  <c r="P31" i="5"/>
  <c r="P34" i="5"/>
  <c r="P43" i="5"/>
  <c r="P49" i="5"/>
  <c r="R46" i="5"/>
  <c r="R48" i="5"/>
  <c r="R12" i="5"/>
  <c r="J20" i="5"/>
  <c r="R20" i="5"/>
  <c r="J21" i="5"/>
  <c r="R21" i="5"/>
  <c r="J27" i="5"/>
  <c r="R27" i="5"/>
  <c r="R31" i="5"/>
  <c r="R34" i="5"/>
  <c r="R43" i="5"/>
  <c r="R49" i="5"/>
  <c r="S49" i="5"/>
  <c r="S48" i="5"/>
  <c r="V46" i="5"/>
  <c r="V47" i="5"/>
  <c r="V48" i="5"/>
  <c r="X46" i="5"/>
  <c r="X48" i="5"/>
  <c r="Y48" i="5"/>
  <c r="U11" i="5"/>
  <c r="V11" i="5"/>
  <c r="U16" i="5"/>
  <c r="V16" i="5"/>
  <c r="V17" i="5"/>
  <c r="V19" i="5"/>
  <c r="U20" i="5"/>
  <c r="V20" i="5"/>
  <c r="U22" i="5"/>
  <c r="V22" i="5"/>
  <c r="V23" i="5"/>
  <c r="U25" i="5"/>
  <c r="V25" i="5"/>
  <c r="V31" i="5"/>
  <c r="V34" i="5"/>
  <c r="V43" i="5"/>
  <c r="V49" i="5"/>
  <c r="X12" i="5"/>
  <c r="X20" i="5"/>
  <c r="X21" i="5"/>
  <c r="X27" i="5"/>
  <c r="X31" i="5"/>
  <c r="X34" i="5"/>
  <c r="X43" i="5"/>
  <c r="X49" i="5"/>
  <c r="Y49" i="5"/>
  <c r="S43" i="5"/>
  <c r="Y43" i="5"/>
  <c r="W25" i="5"/>
  <c r="Y25" i="5"/>
  <c r="S34" i="5"/>
  <c r="Q25" i="5"/>
  <c r="S25" i="5"/>
  <c r="Y34" i="5"/>
  <c r="Y20" i="5"/>
  <c r="S20" i="5"/>
  <c r="M12" i="5"/>
  <c r="M20" i="5"/>
  <c r="M21" i="5"/>
  <c r="M27" i="5"/>
  <c r="J36" i="5"/>
  <c r="M36" i="5"/>
  <c r="M38" i="5"/>
  <c r="L12" i="5"/>
  <c r="L20" i="5"/>
  <c r="L21" i="5"/>
  <c r="L27" i="5"/>
  <c r="L36" i="5"/>
  <c r="L38" i="5"/>
  <c r="G9" i="5"/>
  <c r="G10" i="5"/>
  <c r="G11" i="5"/>
  <c r="G12" i="5"/>
  <c r="G13" i="5"/>
  <c r="G14" i="5"/>
  <c r="G15" i="5"/>
  <c r="G16" i="5"/>
  <c r="G17" i="5"/>
  <c r="G18" i="5"/>
  <c r="G19" i="5"/>
  <c r="G20" i="5"/>
  <c r="G21" i="5"/>
  <c r="G22" i="5"/>
  <c r="G23" i="5"/>
  <c r="G24" i="5"/>
  <c r="G25" i="5"/>
  <c r="G26" i="5"/>
  <c r="G27" i="5"/>
  <c r="G28" i="5"/>
  <c r="G29" i="5"/>
  <c r="G36" i="5"/>
  <c r="G38" i="5"/>
  <c r="F9" i="5"/>
  <c r="F10" i="5"/>
  <c r="F11" i="5"/>
  <c r="F12" i="5"/>
  <c r="D13" i="5"/>
  <c r="F13" i="5"/>
  <c r="F14" i="5"/>
  <c r="F15" i="5"/>
  <c r="F16" i="5"/>
  <c r="F17" i="5"/>
  <c r="F18" i="5"/>
  <c r="F19" i="5"/>
  <c r="F20" i="5"/>
  <c r="F21" i="5"/>
  <c r="F22" i="5"/>
  <c r="F23" i="5"/>
  <c r="F24" i="5"/>
  <c r="F25" i="5"/>
  <c r="F26" i="5"/>
  <c r="F27" i="5"/>
  <c r="F28" i="5"/>
  <c r="F29" i="5"/>
  <c r="F36" i="5"/>
  <c r="F38" i="5"/>
  <c r="G8" i="5"/>
  <c r="F8" i="5"/>
  <c r="AS20" i="1"/>
  <c r="AW20" i="1"/>
  <c r="AV36" i="1"/>
  <c r="AV34" i="1"/>
  <c r="AV32" i="1"/>
  <c r="AV27" i="1"/>
  <c r="AV21" i="1"/>
  <c r="AV20" i="1"/>
  <c r="AV12" i="1"/>
  <c r="AP36" i="1"/>
  <c r="AP34" i="1"/>
  <c r="AP32" i="1"/>
  <c r="AP27" i="1"/>
  <c r="AP21" i="1"/>
  <c r="AP20" i="1"/>
  <c r="AP12" i="1"/>
  <c r="AJ36" i="1"/>
  <c r="AJ34" i="1"/>
  <c r="AJ32" i="1"/>
  <c r="AJ27" i="1"/>
  <c r="AJ21" i="1"/>
  <c r="AJ20" i="1"/>
  <c r="AJ12" i="1"/>
  <c r="Y34" i="1"/>
  <c r="Y32" i="1"/>
  <c r="Y20" i="1"/>
  <c r="Y19" i="1"/>
  <c r="Y17" i="1"/>
  <c r="Y11" i="1"/>
  <c r="U10" i="1"/>
  <c r="Y10" i="1"/>
  <c r="W8" i="1"/>
  <c r="W29" i="1"/>
  <c r="AM20" i="1"/>
  <c r="AG20" i="1"/>
  <c r="AE25" i="1"/>
  <c r="AB46" i="1"/>
  <c r="AB47" i="1"/>
  <c r="AD46" i="1"/>
  <c r="AD47" i="1"/>
  <c r="AE47" i="1"/>
  <c r="AE46" i="1"/>
  <c r="AH44" i="1"/>
  <c r="AH46" i="1"/>
  <c r="AG11" i="1"/>
  <c r="AH11" i="1"/>
  <c r="AG16" i="1"/>
  <c r="AH16" i="1"/>
  <c r="AH17" i="1"/>
  <c r="AG19" i="1"/>
  <c r="AH19" i="1"/>
  <c r="AH20" i="1"/>
  <c r="AG22" i="1"/>
  <c r="AH22" i="1"/>
  <c r="AH23" i="1"/>
  <c r="AG25" i="1"/>
  <c r="AH25" i="1"/>
  <c r="AG32" i="1"/>
  <c r="AH32" i="1"/>
  <c r="AH34" i="1"/>
  <c r="AH41" i="1"/>
  <c r="AH47" i="1"/>
  <c r="AJ44" i="1"/>
  <c r="AJ46" i="1"/>
  <c r="AI8" i="1"/>
  <c r="AJ41" i="1"/>
  <c r="AJ47" i="1"/>
  <c r="AK47" i="1"/>
  <c r="AK46" i="1"/>
  <c r="AT44" i="1"/>
  <c r="AT45" i="1"/>
  <c r="AT46" i="1"/>
  <c r="AS11" i="1"/>
  <c r="AT11" i="1"/>
  <c r="AS16" i="1"/>
  <c r="AT16" i="1"/>
  <c r="AT17" i="1"/>
  <c r="AS19" i="1"/>
  <c r="AT19" i="1"/>
  <c r="AT20" i="1"/>
  <c r="AS22" i="1"/>
  <c r="AT22" i="1"/>
  <c r="AT23" i="1"/>
  <c r="AS25" i="1"/>
  <c r="AT25" i="1"/>
  <c r="AS32" i="1"/>
  <c r="AT32" i="1"/>
  <c r="AT34" i="1"/>
  <c r="AT41" i="1"/>
  <c r="AT47" i="1"/>
  <c r="AV44" i="1"/>
  <c r="AV46" i="1"/>
  <c r="AU8" i="1"/>
  <c r="AV41" i="1"/>
  <c r="AV47" i="1"/>
  <c r="AW47" i="1"/>
  <c r="AW46" i="1"/>
  <c r="AN44" i="1"/>
  <c r="AN46" i="1"/>
  <c r="AM11" i="1"/>
  <c r="AN11" i="1"/>
  <c r="AM16" i="1"/>
  <c r="AN16" i="1"/>
  <c r="AN17" i="1"/>
  <c r="AM19" i="1"/>
  <c r="AN19" i="1"/>
  <c r="AN20" i="1"/>
  <c r="AM22" i="1"/>
  <c r="AN22" i="1"/>
  <c r="AN23" i="1"/>
  <c r="AM25" i="1"/>
  <c r="AN25" i="1"/>
  <c r="AM32" i="1"/>
  <c r="AN32" i="1"/>
  <c r="AN34" i="1"/>
  <c r="AN41" i="1"/>
  <c r="AN47" i="1"/>
  <c r="AP44" i="1"/>
  <c r="AP46" i="1"/>
  <c r="AO8" i="1"/>
  <c r="AP41" i="1"/>
  <c r="AP47" i="1"/>
  <c r="AQ47" i="1"/>
  <c r="AQ46" i="1"/>
  <c r="AW34" i="1"/>
  <c r="AW33" i="1"/>
  <c r="AW32" i="1"/>
  <c r="AW19" i="1"/>
  <c r="AW11" i="1"/>
  <c r="AS10" i="1"/>
  <c r="AW10" i="1"/>
  <c r="AQ34" i="1"/>
  <c r="AQ33" i="1"/>
  <c r="AQ32" i="1"/>
  <c r="AQ19" i="1"/>
  <c r="AQ17" i="1"/>
  <c r="AQ11" i="1"/>
  <c r="AM10" i="1"/>
  <c r="AQ10" i="1"/>
  <c r="AK34" i="1"/>
  <c r="AK33" i="1"/>
  <c r="AK32" i="1"/>
  <c r="AK19" i="1"/>
  <c r="AK17" i="1"/>
  <c r="AK11" i="1"/>
  <c r="AG10" i="1"/>
  <c r="AK10" i="1"/>
  <c r="AE34" i="1"/>
  <c r="AE33" i="1"/>
  <c r="AE32" i="1"/>
  <c r="AE19" i="1"/>
  <c r="AE17" i="1"/>
  <c r="AE11" i="1"/>
  <c r="AA10" i="1"/>
  <c r="AE10" i="1"/>
  <c r="AW41" i="1"/>
  <c r="AQ41" i="1"/>
  <c r="AK41" i="1"/>
  <c r="AE41" i="1"/>
  <c r="AD58" i="1"/>
  <c r="AO29" i="1"/>
  <c r="AU29" i="1"/>
  <c r="M38" i="1"/>
  <c r="L38" i="1"/>
  <c r="F25" i="1"/>
  <c r="G25" i="1"/>
  <c r="F26" i="1"/>
  <c r="G26" i="1"/>
  <c r="F27" i="1"/>
  <c r="G27" i="1"/>
  <c r="F28" i="1"/>
  <c r="G28" i="1"/>
  <c r="F29" i="1"/>
  <c r="G29" i="1"/>
  <c r="F16" i="1"/>
  <c r="G16" i="1"/>
  <c r="F22" i="1"/>
  <c r="G22" i="1"/>
  <c r="F10" i="1"/>
  <c r="G10" i="1"/>
  <c r="F11" i="1"/>
  <c r="G11" i="1"/>
  <c r="F18" i="1"/>
  <c r="G18" i="1"/>
  <c r="F19" i="1"/>
  <c r="G19" i="1"/>
  <c r="G9" i="1"/>
  <c r="G12" i="1"/>
  <c r="G13" i="1"/>
  <c r="G14" i="1"/>
  <c r="G15" i="1"/>
  <c r="G17" i="1"/>
  <c r="G20" i="1"/>
  <c r="G21" i="1"/>
  <c r="G23" i="1"/>
  <c r="G24" i="1"/>
  <c r="G36" i="1"/>
  <c r="G38" i="1"/>
  <c r="F9" i="1"/>
  <c r="F12" i="1"/>
  <c r="D13" i="1"/>
  <c r="F13" i="1"/>
  <c r="F14" i="1"/>
  <c r="F15" i="1"/>
  <c r="F17" i="1"/>
  <c r="F20" i="1"/>
  <c r="F21" i="1"/>
  <c r="F23" i="1"/>
  <c r="F24" i="1"/>
  <c r="F36" i="1"/>
  <c r="F38" i="1"/>
  <c r="G8" i="1"/>
  <c r="F8" i="1"/>
  <c r="X31" i="4"/>
  <c r="Z31" i="4"/>
  <c r="R31" i="4"/>
  <c r="T31" i="4"/>
  <c r="Y54" i="4"/>
  <c r="Y55" i="4"/>
  <c r="Y60" i="4"/>
  <c r="Y45" i="4"/>
  <c r="Y12" i="4"/>
  <c r="J20" i="4"/>
  <c r="Y20" i="4"/>
  <c r="J21" i="4"/>
  <c r="Y21" i="4"/>
  <c r="J27" i="4"/>
  <c r="Y27" i="4"/>
  <c r="Y31" i="4"/>
  <c r="J36" i="4"/>
  <c r="Y36" i="4"/>
  <c r="Y40" i="4"/>
  <c r="Y46" i="4"/>
  <c r="S45" i="4"/>
  <c r="S12" i="4"/>
  <c r="S20" i="4"/>
  <c r="S21" i="4"/>
  <c r="S27" i="4"/>
  <c r="S31" i="4"/>
  <c r="S36" i="4"/>
  <c r="S40" i="4"/>
  <c r="S46" i="4"/>
  <c r="P43" i="4"/>
  <c r="P45" i="4"/>
  <c r="Q10" i="4"/>
  <c r="P11" i="4"/>
  <c r="Q11" i="4"/>
  <c r="P16" i="4"/>
  <c r="Q16" i="4"/>
  <c r="Q17" i="4"/>
  <c r="Q19" i="4"/>
  <c r="Q21" i="4"/>
  <c r="Q23" i="4"/>
  <c r="Q31" i="4"/>
  <c r="Q36" i="4"/>
  <c r="Q40" i="4"/>
  <c r="P46" i="4"/>
  <c r="T46" i="4"/>
  <c r="W43" i="4"/>
  <c r="W45" i="4"/>
  <c r="W10" i="4"/>
  <c r="W11" i="4"/>
  <c r="V16" i="4"/>
  <c r="W16" i="4"/>
  <c r="W17" i="4"/>
  <c r="W19" i="4"/>
  <c r="W21" i="4"/>
  <c r="V23" i="4"/>
  <c r="W23" i="4"/>
  <c r="W31" i="4"/>
  <c r="W36" i="4"/>
  <c r="W40" i="4"/>
  <c r="W46" i="4"/>
  <c r="Z46" i="4"/>
  <c r="Z45" i="4"/>
  <c r="T45" i="4"/>
  <c r="Z36" i="4"/>
  <c r="Z21" i="4"/>
  <c r="X19" i="4"/>
  <c r="Z19" i="4"/>
  <c r="X17" i="4"/>
  <c r="Z17" i="4"/>
  <c r="X16" i="4"/>
  <c r="Z16" i="4"/>
  <c r="Z11" i="4"/>
  <c r="Z10" i="4"/>
  <c r="T36" i="4"/>
  <c r="T21" i="4"/>
  <c r="R19" i="4"/>
  <c r="T19" i="4"/>
  <c r="R17" i="4"/>
  <c r="T17" i="4"/>
  <c r="R16" i="4"/>
  <c r="T16" i="4"/>
  <c r="T11" i="4"/>
  <c r="T10" i="4"/>
  <c r="Y64" i="4"/>
  <c r="L12" i="4"/>
  <c r="L20" i="4"/>
  <c r="L21" i="4"/>
  <c r="L27" i="4"/>
  <c r="L36" i="4"/>
  <c r="L38" i="4"/>
  <c r="F9" i="4"/>
  <c r="F10" i="4"/>
  <c r="F11" i="4"/>
  <c r="F12" i="4"/>
  <c r="D13" i="4"/>
  <c r="F13" i="4"/>
  <c r="F14" i="4"/>
  <c r="F15" i="4"/>
  <c r="F16" i="4"/>
  <c r="F17" i="4"/>
  <c r="F18" i="4"/>
  <c r="F19" i="4"/>
  <c r="F20" i="4"/>
  <c r="F21" i="4"/>
  <c r="F22" i="4"/>
  <c r="F23" i="4"/>
  <c r="F24" i="4"/>
  <c r="F25" i="4"/>
  <c r="F26" i="4"/>
  <c r="F27" i="4"/>
  <c r="F28" i="4"/>
  <c r="F29" i="4"/>
  <c r="F36" i="4"/>
  <c r="F38" i="4"/>
  <c r="M36" i="4"/>
  <c r="M12" i="4"/>
  <c r="M20" i="4"/>
  <c r="M21" i="4"/>
  <c r="M27" i="4"/>
  <c r="M38" i="4"/>
  <c r="G9" i="4"/>
  <c r="G10" i="4"/>
  <c r="G11" i="4"/>
  <c r="G12" i="4"/>
  <c r="G13" i="4"/>
  <c r="G14" i="4"/>
  <c r="G15" i="4"/>
  <c r="G16" i="4"/>
  <c r="G17" i="4"/>
  <c r="G18" i="4"/>
  <c r="G19" i="4"/>
  <c r="G20" i="4"/>
  <c r="G21" i="4"/>
  <c r="G22" i="4"/>
  <c r="G23" i="4"/>
  <c r="G24" i="4"/>
  <c r="G25" i="4"/>
  <c r="G26" i="4"/>
  <c r="G27" i="4"/>
  <c r="G28" i="4"/>
  <c r="G29" i="4"/>
  <c r="G36" i="4"/>
  <c r="G38" i="4"/>
  <c r="G8" i="4"/>
  <c r="F8" i="4"/>
  <c r="I12" i="2"/>
  <c r="F12" i="2"/>
  <c r="C12" i="2"/>
  <c r="H11" i="2"/>
  <c r="I11" i="2"/>
  <c r="J11" i="2"/>
  <c r="F34" i="2"/>
  <c r="E11" i="2"/>
  <c r="F11" i="2"/>
  <c r="G11" i="2"/>
  <c r="B11" i="2"/>
  <c r="C11" i="2"/>
  <c r="D11" i="2"/>
  <c r="H10" i="2"/>
  <c r="I10" i="2"/>
  <c r="J10" i="2"/>
  <c r="F33" i="2"/>
  <c r="E10" i="2"/>
  <c r="F10" i="2"/>
  <c r="G10" i="2"/>
  <c r="B10" i="2"/>
  <c r="C10" i="2"/>
  <c r="D10" i="2"/>
  <c r="E60" i="2"/>
  <c r="D60" i="2"/>
  <c r="D59" i="2"/>
  <c r="E59" i="2"/>
  <c r="E58" i="2"/>
  <c r="D58" i="2"/>
  <c r="E57" i="2"/>
  <c r="D57" i="2"/>
  <c r="E56" i="2"/>
  <c r="D56" i="2"/>
  <c r="E55" i="2"/>
  <c r="D55" i="2"/>
  <c r="E54" i="2"/>
  <c r="D54" i="2"/>
  <c r="H19" i="2"/>
  <c r="I19" i="2"/>
  <c r="J19" i="2"/>
  <c r="F45" i="2"/>
  <c r="H18" i="2"/>
  <c r="I18" i="2"/>
  <c r="J18" i="2"/>
  <c r="F43" i="2"/>
  <c r="H15" i="2"/>
  <c r="I15" i="2"/>
  <c r="J15" i="2"/>
  <c r="F40" i="2"/>
  <c r="H16" i="2"/>
  <c r="I16" i="2"/>
  <c r="J16" i="2"/>
  <c r="F41" i="2"/>
  <c r="H14" i="2"/>
  <c r="I14" i="2"/>
  <c r="J14" i="2"/>
  <c r="F38" i="2"/>
  <c r="E19" i="2"/>
  <c r="F19" i="2"/>
  <c r="G19" i="2"/>
  <c r="B19" i="2"/>
  <c r="C19" i="2"/>
  <c r="D19" i="2"/>
  <c r="E18" i="2"/>
  <c r="F18" i="2"/>
  <c r="G18" i="2"/>
  <c r="B18" i="2"/>
  <c r="C18" i="2"/>
  <c r="D18" i="2"/>
  <c r="E16" i="2"/>
  <c r="F16" i="2"/>
  <c r="G16" i="2"/>
  <c r="B16" i="2"/>
  <c r="C16" i="2"/>
  <c r="D16" i="2"/>
  <c r="E15" i="2"/>
  <c r="F15" i="2"/>
  <c r="G15" i="2"/>
  <c r="B15" i="2"/>
  <c r="C15" i="2"/>
  <c r="D15" i="2"/>
  <c r="E14" i="2"/>
  <c r="F14" i="2"/>
  <c r="G14" i="2"/>
  <c r="B14" i="2"/>
  <c r="C14" i="2"/>
  <c r="D14" i="2"/>
  <c r="H13" i="2"/>
  <c r="I13" i="2"/>
  <c r="J13" i="2"/>
  <c r="F37" i="2"/>
  <c r="H12" i="2"/>
  <c r="J12" i="2"/>
  <c r="F36" i="2"/>
  <c r="E13" i="2"/>
  <c r="F13" i="2"/>
  <c r="G13" i="2"/>
  <c r="B13" i="2"/>
  <c r="C13" i="2"/>
  <c r="D13" i="2"/>
  <c r="E12" i="2"/>
  <c r="G12" i="2"/>
  <c r="B12" i="2"/>
  <c r="D12" i="2"/>
</calcChain>
</file>

<file path=xl/sharedStrings.xml><?xml version="1.0" encoding="utf-8"?>
<sst xmlns="http://schemas.openxmlformats.org/spreadsheetml/2006/main" count="1302" uniqueCount="461">
  <si>
    <t>Caution #1: The British basket costs proved quite sensitive to the degree of food preparation.  The baskets with oats (used here) cost much less than those delivering the same calories and protein through bread. Let's call this the "let them buy bread" effect.</t>
    <phoneticPr fontId="1" type="noConversion"/>
  </si>
  <si>
    <t>Comparing Consumer Purchasing Powers of Nominal GDP, Japan versus Britain, 1602 - 1912</t>
    <phoneticPr fontId="1" type="noConversion"/>
  </si>
  <si>
    <t>The Osaka prices for 1602 (i.e. 1600-1604) and 1648 (1646-1650) are from Kimura (1987).</t>
    <phoneticPr fontId="1" type="noConversion"/>
  </si>
  <si>
    <t>Sources and notes</t>
    <phoneticPr fontId="1" type="noConversion"/>
  </si>
  <si>
    <t>(See also the column-specific notes.)</t>
    <phoneticPr fontId="1" type="noConversion"/>
  </si>
  <si>
    <t>"Japan A" basket (Bassino and Ma)</t>
    <phoneticPr fontId="1" type="noConversion"/>
  </si>
  <si>
    <t>Nominal GDP, mil. gAg</t>
    <phoneticPr fontId="1" type="noConversion"/>
  </si>
  <si>
    <t>For cotton cloth prices, it was necessary to calculate the 1646-1650 average price as (Allen's servant cloth, 1646-1650 / Allen's servant cloth for 1740) times (Clark's cotton cloth 1740).  The Allen series hardly changed over those years anyway.</t>
    <phoneticPr fontId="1" type="noConversion"/>
  </si>
  <si>
    <t>Clark, Gregory. 2005. Price and wage data for England, 1209-1914, at http://gpih.ucdavis.edu.</t>
    <phoneticPr fontId="1" type="noConversion"/>
  </si>
  <si>
    <t>Japan uses Osaka prices, Britain is England</t>
    <phoneticPr fontId="1" type="noConversion"/>
  </si>
  <si>
    <t>cheese</t>
    <phoneticPr fontId="1" type="noConversion"/>
  </si>
  <si>
    <t>eggs</t>
    <phoneticPr fontId="1" type="noConversion"/>
  </si>
  <si>
    <t>each</t>
    <phoneticPr fontId="1" type="noConversion"/>
  </si>
  <si>
    <t>linen</t>
    <phoneticPr fontId="1" type="noConversion"/>
  </si>
  <si>
    <t>From koku to kilograms: Bassino-Ma (2005, p. 238) give, from LTES (vol. 9, p. 250) 150 kg/koku for rice.</t>
    <phoneticPr fontId="1" type="noConversion"/>
  </si>
  <si>
    <t>Britain (Eng)</t>
    <phoneticPr fontId="1" type="noConversion"/>
  </si>
  <si>
    <t>Any comparison with a less-prepared grain source of calories would have to add a cost of cooking the grain (e.g. rice), or of converting it to flour and then cooking it (e.g. maize).</t>
    <phoneticPr fontId="1" type="noConversion"/>
  </si>
  <si>
    <t>Caution #2: While the silver values of the monme do not affect the final levels of purchasing power in terms of baskets, the uncertainty about silver values causes odd-looking differences in nominal values expressed in silver.</t>
    <phoneticPr fontId="1" type="noConversion"/>
  </si>
  <si>
    <t xml:space="preserve">For example, in England in 1750, each 1,000 calories consumed as a kg of wheaten bread would cost (1.37 gAg/kg) / (2450 cal/kg), or 0.56 grams of silver. </t>
    <phoneticPr fontId="1" type="noConversion"/>
  </si>
  <si>
    <t xml:space="preserve">Yet each 1,000 calories purchased as unmilled and unbaked wheat would cost only 1000 * (0.57 gAg/kg) / (3350 cal/kg), or only 0.17 grams of silver. </t>
    <phoneticPr fontId="1" type="noConversion"/>
  </si>
  <si>
    <t>Bassino, Jean-Pascal Bassino, Stephen Broadberry, Kyoji Fukao, Bishnupriya Gupta, and Masanori Takashima. 2015. “Japan and the Great Divergence, 725-1874.” CEPR Discussion Paper 10569.http://www.cepr.org/active/publications /discussion_papers/dp.php?dpno=10569.</t>
    <phoneticPr fontId="1" type="noConversion"/>
  </si>
  <si>
    <t>Rice price is the average for Edo in years 1710, 1711, 1713, and 1716.</t>
    <phoneticPr fontId="1" type="noConversion"/>
  </si>
  <si>
    <t>BUT is the firewood of west India really comparable with that of Japan?</t>
    <phoneticPr fontId="1" type="noConversion"/>
  </si>
  <si>
    <t>Prices, Eng</t>
    <phoneticPr fontId="1" type="noConversion"/>
  </si>
  <si>
    <t>Allen (2005, p. 128) for some.</t>
    <phoneticPr fontId="1" type="noConversion"/>
  </si>
  <si>
    <t>Beer 1870 is actually 1869.</t>
    <phoneticPr fontId="1" type="noConversion"/>
  </si>
  <si>
    <t xml:space="preserve"> </t>
    <phoneticPr fontId="1" type="noConversion"/>
  </si>
  <si>
    <t>(x) fuel "burning wood"</t>
    <phoneticPr fontId="1" type="noConversion"/>
  </si>
  <si>
    <t>oats</t>
    <phoneticPr fontId="1" type="noConversion"/>
  </si>
  <si>
    <t>file 2010</t>
    <phoneticPr fontId="1" type="noConversion"/>
  </si>
  <si>
    <t>Prices, GB</t>
    <phoneticPr fontId="1" type="noConversion"/>
  </si>
  <si>
    <t>Cost, GB</t>
    <phoneticPr fontId="1" type="noConversion"/>
  </si>
  <si>
    <t>Bassino, Jean-Pascal, data file posted on http://gpih.ucdavis.edu in 2006, expanding on the estimates by Bassino and Ma.</t>
    <phoneticPr fontId="1" type="noConversion"/>
  </si>
  <si>
    <t>fuel "burning wood"</t>
    <phoneticPr fontId="1" type="noConversion"/>
  </si>
  <si>
    <t>total cost of basket</t>
    <phoneticPr fontId="1" type="noConversion"/>
  </si>
  <si>
    <t>Barley was an important staple in rural areas; but 'mugi' is more probably wheat in urban market ('komugi' i.e. 'small barley' in Japanese).</t>
  </si>
  <si>
    <t>Unit price of 'mugi' in kg is implausibily low (relative to unit-price of rice in kg), if we use a conversion based on the weight in kg of1 koku of barley.</t>
  </si>
  <si>
    <t>Lamp oil price for 1713 is not Kyoto, but the Edo average of 1710, 1711, 17134, and 1716.  Following Bassino and Ma (2005, p. 238), I assume that the price of edible oil is the same as for lamp oil.  This is of a relatively high quality, and people may have substituted cheaper products for which we lack data.</t>
    <phoneticPr fontId="1" type="noConversion"/>
  </si>
  <si>
    <t>Maddison</t>
    <phoneticPr fontId="1" type="noConversion"/>
  </si>
  <si>
    <t>http://www.imes.boj.or.jp/cm/english_htmls/feature_gra1-9.htm (1 August 2006)</t>
  </si>
  <si>
    <t>&gt;&gt;&gt;  1600-1690's - 3 grams of silver per monme</t>
  </si>
  <si>
    <t>SUMMARY COMPARISONS OF PURCHASING POWER - JAPAN VERSUS BRITAIN</t>
    <phoneticPr fontId="1" type="noConversion"/>
  </si>
  <si>
    <t>Broadberry et al., British barebones</t>
    <phoneticPr fontId="1" type="noConversion"/>
  </si>
  <si>
    <t>Allen basket, Northern Europe, 1745-1754</t>
    <phoneticPr fontId="1" type="noConversion"/>
  </si>
  <si>
    <t>m-sq</t>
  </si>
  <si>
    <t>Candle price for 1713 is for Edo 1710-1716, not for Kyoto. Looking across all dates, Japanese candle prices oscillate.  Perhaps this is why Bassino and Ma did not include them in the basket.</t>
    <phoneticPr fontId="1" type="noConversion"/>
  </si>
  <si>
    <t>Nominal GDP, mill gAg</t>
  </si>
  <si>
    <t>Nominal GDP, mill.£</t>
    <phoneticPr fontId="1" type="noConversion"/>
  </si>
  <si>
    <t>From 1917, salt per 100 kin; soy per 9 sho; tobacco per 6 kwan; beef per 10 kwan.</t>
  </si>
  <si>
    <t>beans/peas</t>
    <phoneticPr fontId="1" type="noConversion"/>
  </si>
  <si>
    <t>meat</t>
    <phoneticPr fontId="1" type="noConversion"/>
  </si>
  <si>
    <t>fish</t>
    <phoneticPr fontId="1" type="noConversion"/>
  </si>
  <si>
    <t>beer</t>
    <phoneticPr fontId="1" type="noConversion"/>
  </si>
  <si>
    <t>edible oil</t>
    <phoneticPr fontId="1" type="noConversion"/>
  </si>
  <si>
    <t>Cotton cloth prices have not been filled in for years after the 1740s, because Clark gives them per kilogram, not per meter.  I used linen cloth instead, for GB as for Japan.</t>
    <phoneticPr fontId="1" type="noConversion"/>
  </si>
  <si>
    <t>fuel "burning wood"</t>
    <phoneticPr fontId="1" type="noConversion"/>
  </si>
  <si>
    <t>sugar</t>
    <phoneticPr fontId="1" type="noConversion"/>
  </si>
  <si>
    <t>GDP / cap, in gAg</t>
    <phoneticPr fontId="1" type="noConversion"/>
  </si>
  <si>
    <t>Pop'n in mill.</t>
    <phoneticPr fontId="1" type="noConversion"/>
  </si>
  <si>
    <t>1 monme = 3.75 grams</t>
  </si>
  <si>
    <t xml:space="preserve">1 koku = 180.891 liters </t>
  </si>
  <si>
    <t>For cotton cloth prices, it was necessary to calculate the 1600-1604 average price as (Allen's servant cloth, 1600-1604 / Allen's servant cloth for 1740) times (Clark's cotton cloth 1740).  The Allen series hardly changed over those years anyway.</t>
    <phoneticPr fontId="1" type="noConversion"/>
  </si>
  <si>
    <t>Fish and linen prices tied to rice price at 1745-54, as assumed by Bassino and Ma (2005, p. 237).They tied the fish price to a wholesale price of rice.  Here I tie it to their retail price.</t>
    <phoneticPr fontId="1" type="noConversion"/>
  </si>
  <si>
    <t xml:space="preserve"> </t>
    <phoneticPr fontId="1" type="noConversion"/>
  </si>
  <si>
    <t>liters</t>
    <phoneticPr fontId="1" type="noConversion"/>
  </si>
  <si>
    <t>On a different page of the same BOJ web site (1 August 2006)</t>
  </si>
  <si>
    <t>http://www.imes.boj.or.jp/cm/english_htmls/feature_gra1-11.htm</t>
  </si>
  <si>
    <t>Fish prices were assumed to have the same ratio to the price of soy beans as in 1745-1754, the ratio assumed (but not explained) by Bassino and Ma.</t>
    <phoneticPr fontId="1" type="noConversion"/>
  </si>
  <si>
    <t xml:space="preserve"> </t>
    <phoneticPr fontId="1" type="noConversion"/>
  </si>
  <si>
    <t xml:space="preserve"> </t>
    <phoneticPr fontId="1" type="noConversion"/>
  </si>
  <si>
    <t>Fuel in West India = 7.701 million BTU per 1000 kilos of firewood.</t>
    <phoneticPr fontId="1"/>
  </si>
  <si>
    <t>The fish and linen prices are those reported by Bassino and Ma (2005, p. 237).  It is not clear where these prices came from.</t>
    <phoneticPr fontId="1" type="noConversion"/>
  </si>
  <si>
    <t>Allen, Robert C. 2013. Prices and wages for London and Southern England, 1200s-1914, at http://gpih.ucdavis.edu.</t>
    <phoneticPr fontId="1" type="noConversion"/>
  </si>
  <si>
    <t xml:space="preserve">We used the US Dept of Agriculture conversions of liters into kilograms for soy beans, barley, rye and wheat. </t>
    <phoneticPr fontId="1" type="noConversion"/>
  </si>
  <si>
    <t xml:space="preserve"> </t>
    <phoneticPr fontId="1" type="noConversion"/>
  </si>
  <si>
    <t>For lamp oil, Bassino and Ma (2005, p. 237) get 5.66 gAg per liter in 1745-1754 in Kyoto.</t>
    <phoneticPr fontId="1" type="noConversion"/>
  </si>
  <si>
    <r>
      <t xml:space="preserve">Reference: Umemura, M. et alii (1966), </t>
    </r>
    <r>
      <rPr>
        <i/>
        <sz val="12"/>
        <color indexed="8"/>
        <rFont val="Arial"/>
      </rPr>
      <t>Noringyo</t>
    </r>
    <r>
      <rPr>
        <sz val="12"/>
        <color indexed="8"/>
        <rFont val="Arial"/>
      </rPr>
      <t xml:space="preserve"> [Agriculture and Forestry] (Nihon Choki Keizai Tokei, vol 9), Tokyo: Toyo Keizai, p. 250.</t>
    </r>
  </si>
  <si>
    <t>Make the same assumptions for sugar as</t>
    <phoneticPr fontId="1" type="noConversion"/>
  </si>
  <si>
    <t>onto it to estimate the cotton cloth</t>
    <phoneticPr fontId="1" type="noConversion"/>
  </si>
  <si>
    <t>price for 1910-14.</t>
    <phoneticPr fontId="1" type="noConversion"/>
  </si>
  <si>
    <t xml:space="preserve"> </t>
    <phoneticPr fontId="1" type="noConversion"/>
  </si>
  <si>
    <t xml:space="preserve"> </t>
    <phoneticPr fontId="1" type="noConversion"/>
  </si>
  <si>
    <t>Units per</t>
    <phoneticPr fontId="1" type="noConversion"/>
  </si>
  <si>
    <t>person-yr</t>
    <phoneticPr fontId="1" type="noConversion"/>
  </si>
  <si>
    <t>Price ratio</t>
    <phoneticPr fontId="1" type="noConversion"/>
  </si>
  <si>
    <t>Japan</t>
    <phoneticPr fontId="1" type="noConversion"/>
  </si>
  <si>
    <r>
      <t xml:space="preserve">For lamp oil, Bassino give the 1745-1754 price as 3.19 gAg per </t>
    </r>
    <r>
      <rPr>
        <u/>
        <sz val="12"/>
        <rFont val="Arial"/>
      </rPr>
      <t>kilogram in England</t>
    </r>
    <r>
      <rPr>
        <sz val="12"/>
        <rFont val="Arial"/>
      </rPr>
      <t>, whereas</t>
    </r>
    <phoneticPr fontId="1" type="noConversion"/>
  </si>
  <si>
    <t xml:space="preserve"> </t>
    <phoneticPr fontId="1" type="noConversion"/>
  </si>
  <si>
    <t>Nominal GDP, mill. Yen</t>
    <phoneticPr fontId="1" type="noConversion"/>
  </si>
  <si>
    <t>The weight of woven cotton fabric is 19.2 lbs/100 yd2 or 106.83 GSM. (http://textilelearner.blogspot.com/2012/02/determination-of-gsm-gram-per-square.html, accessed 21mar2016)</t>
  </si>
  <si>
    <t>Beans and peas calories and protein match those for India vs. Britain.</t>
    <phoneticPr fontId="1" type="noConversion"/>
  </si>
  <si>
    <t>Ditto meat, butter.</t>
    <phoneticPr fontId="1" type="noConversion"/>
  </si>
  <si>
    <t>wheat</t>
    <phoneticPr fontId="1" type="noConversion"/>
  </si>
  <si>
    <t>barley</t>
    <phoneticPr fontId="1" type="noConversion"/>
  </si>
  <si>
    <t>kg</t>
    <phoneticPr fontId="1" type="noConversion"/>
  </si>
  <si>
    <t>Underlying frequency:</t>
  </si>
  <si>
    <t xml:space="preserve">Quarterly average (Spring and Autumn), probably based on daily prices (montly prices in Osaka are also reported in the same source); </t>
  </si>
  <si>
    <t>Real GDP, 1000 koku</t>
    <phoneticPr fontId="1" type="noConversion"/>
  </si>
  <si>
    <t xml:space="preserve">Reasons: It is irrelevant to calories by itself; it should not be included without including sugar (no Japan price series until 1887); we have no </t>
    <phoneticPr fontId="1" type="noConversion"/>
  </si>
  <si>
    <t>Note related to tobacco:</t>
  </si>
  <si>
    <t>butter</t>
    <phoneticPr fontId="1" type="noConversion"/>
  </si>
  <si>
    <t>kg</t>
    <phoneticPr fontId="1" type="noConversion"/>
  </si>
  <si>
    <t>Sugar (white, for.)</t>
    <phoneticPr fontId="1" type="noConversion"/>
  </si>
  <si>
    <t>Inflation relative to silver in Japan.</t>
    <phoneticPr fontId="1" type="noConversion"/>
  </si>
  <si>
    <t>Rice: Clark gives it per liter, versus per kilogram in Bassino-Ma. The latter authors say there is 0.833 kg per liter of white rice.</t>
    <phoneticPr fontId="1" type="noConversion"/>
  </si>
  <si>
    <t>n.a.</t>
    <phoneticPr fontId="1" type="noConversion"/>
  </si>
  <si>
    <t>The Japan prices for 1713-1874, with a few exceptions given in the column-specific notes, are from the Mitsui Bunko (1989) data given in a</t>
    <phoneticPr fontId="1" type="noConversion"/>
  </si>
  <si>
    <t>We used the Bassino-Ma rice ratio of 150 kilograms per koku.</t>
  </si>
  <si>
    <t>piece</t>
  </si>
  <si>
    <t>m</t>
  </si>
  <si>
    <t>Silver conversion</t>
  </si>
  <si>
    <t xml:space="preserve">Tobacco also omitted, despite the availability of price series.  </t>
    <phoneticPr fontId="1" type="noConversion"/>
  </si>
  <si>
    <t>liters</t>
    <phoneticPr fontId="1" type="noConversion"/>
  </si>
  <si>
    <t>&gt;&gt;&gt;  1710 - Meiji -  0.75 grams of silver per monme.  This assumption was used in the "Osaka 1600-1650" file and the "Japanese rice P's 1620-1867."</t>
  </si>
  <si>
    <t>These values, however, might have been specific to the Korea trade.</t>
  </si>
  <si>
    <t>gram</t>
  </si>
  <si>
    <t>lit</t>
  </si>
  <si>
    <t>ghee</t>
  </si>
  <si>
    <t>1 koku of husked rice = 150 kg</t>
  </si>
  <si>
    <t>Prices, Kyoto</t>
    <phoneticPr fontId="1" type="noConversion"/>
  </si>
  <si>
    <t>1 koku of barley= 108.75 kg</t>
  </si>
  <si>
    <t>GDP / cap, in baskets</t>
    <phoneticPr fontId="1" type="noConversion"/>
  </si>
  <si>
    <t>Again, Japan as a % of the UK</t>
    <phoneticPr fontId="1" type="noConversion"/>
  </si>
  <si>
    <t>(C.) Comparisons over the last hundred years</t>
    <phoneticPr fontId="1" type="noConversion"/>
  </si>
  <si>
    <t>Penn World Tables</t>
    <phoneticPr fontId="1" type="noConversion"/>
  </si>
  <si>
    <t>"cgdpe" comparisons</t>
    <phoneticPr fontId="1" type="noConversion"/>
  </si>
  <si>
    <t>via USA, same year</t>
    <phoneticPr fontId="1" type="noConversion"/>
  </si>
  <si>
    <t>Soy sauce, miso, vinegar are also excluded, despite price series, because we have no quantities or cal/pro rates at hand.</t>
    <phoneticPr fontId="1" type="noConversion"/>
  </si>
  <si>
    <r>
      <t xml:space="preserve">From 1814 onward, the physical unit used in Kyoto is </t>
    </r>
    <r>
      <rPr>
        <i/>
        <sz val="12"/>
        <color indexed="8"/>
        <rFont val="Arial"/>
      </rPr>
      <t>'tama'</t>
    </r>
    <r>
      <rPr>
        <sz val="12"/>
        <color indexed="8"/>
        <rFont val="Arial"/>
      </rPr>
      <t xml:space="preserve"> (probably a volume unit); the comparison of relative prices of tobacco</t>
    </r>
  </si>
  <si>
    <r>
      <t xml:space="preserve">(relative to rice and other items) suggests the weight of one </t>
    </r>
    <r>
      <rPr>
        <i/>
        <sz val="12"/>
        <color indexed="8"/>
        <rFont val="Arial"/>
      </rPr>
      <t>tama</t>
    </r>
    <r>
      <rPr>
        <sz val="12"/>
        <color indexed="8"/>
        <rFont val="Arial"/>
      </rPr>
      <t xml:space="preserve"> was one kin.</t>
    </r>
  </si>
  <si>
    <t>Beef prices start from</t>
    <phoneticPr fontId="1" type="noConversion"/>
  </si>
  <si>
    <t>We can find the following information:</t>
  </si>
  <si>
    <t>These are 5 monme coins. The figure of 18.75g for 5 monme implies 3.75 gr</t>
  </si>
  <si>
    <t>&gt;&gt;&gt;  1690's - 1706 - 1.875 grams of silver per monme</t>
  </si>
  <si>
    <t>Unit</t>
    <phoneticPr fontId="1" type="noConversion"/>
  </si>
  <si>
    <r>
      <t>Unit price of 'mugi' in silver monme per koku is reported in Mitsui Bunko; mugi could be barley (</t>
    </r>
    <r>
      <rPr>
        <i/>
        <sz val="12"/>
        <color indexed="8"/>
        <rFont val="Arial"/>
      </rPr>
      <t>mugi</t>
    </r>
    <r>
      <rPr>
        <sz val="12"/>
        <color indexed="8"/>
        <rFont val="Arial"/>
      </rPr>
      <t>) or wheat (</t>
    </r>
    <r>
      <rPr>
        <i/>
        <sz val="12"/>
        <color indexed="8"/>
        <rFont val="Arial"/>
      </rPr>
      <t>komugi</t>
    </r>
    <r>
      <rPr>
        <sz val="12"/>
        <color indexed="8"/>
        <rFont val="Arial"/>
      </rPr>
      <t xml:space="preserve">). </t>
    </r>
  </si>
  <si>
    <t>Ratio</t>
  </si>
  <si>
    <t>project</t>
    <phoneticPr fontId="1" type="noConversion"/>
  </si>
  <si>
    <t>Maddison</t>
    <phoneticPr fontId="1" type="noConversion"/>
  </si>
  <si>
    <t>Comparing Consumer Purchasing Powers of Nominal GDP, Japan versus Britain, 1713 - 1870</t>
    <phoneticPr fontId="1" type="noConversion"/>
  </si>
  <si>
    <t xml:space="preserve">to 1910=1914, as did the Board of </t>
    <phoneticPr fontId="1" type="noConversion"/>
  </si>
  <si>
    <t>Trade's index of animal</t>
    <phoneticPr fontId="1" type="noConversion"/>
  </si>
  <si>
    <t>product prices, then beef,</t>
    <phoneticPr fontId="1" type="noConversion"/>
  </si>
  <si>
    <t xml:space="preserve"> </t>
    <phoneticPr fontId="1" type="noConversion"/>
  </si>
  <si>
    <t>If beef prices went up 10.57% from 1905</t>
    <phoneticPr fontId="1" type="noConversion"/>
  </si>
  <si>
    <t>Column-specific footnotes:</t>
  </si>
  <si>
    <t>sake</t>
    <phoneticPr fontId="1" type="noConversion"/>
  </si>
  <si>
    <t>buckwheat &amp; others</t>
    <phoneticPr fontId="1" type="noConversion"/>
  </si>
  <si>
    <t>soybeans</t>
    <phoneticPr fontId="1" type="noConversion"/>
  </si>
  <si>
    <t>cloth, cotton</t>
    <phoneticPr fontId="1" type="noConversion"/>
  </si>
  <si>
    <t>Table 6: Retail prices and daily wages of unskilled workers in Kyoto, 1713, 1741-1762, 1791-1871</t>
  </si>
  <si>
    <t xml:space="preserve"> </t>
    <phoneticPr fontId="1" type="noConversion"/>
  </si>
  <si>
    <t xml:space="preserve"> </t>
    <phoneticPr fontId="1" type="noConversion"/>
  </si>
  <si>
    <t>Prices, Tokyo</t>
    <phoneticPr fontId="1" type="noConversion"/>
  </si>
  <si>
    <t>Price</t>
    <phoneticPr fontId="1" type="noConversion"/>
  </si>
  <si>
    <t>ratio</t>
    <phoneticPr fontId="1" type="noConversion"/>
  </si>
  <si>
    <t>1882-1886 (gAg)</t>
    <phoneticPr fontId="1" type="noConversion"/>
  </si>
  <si>
    <t xml:space="preserve">which implies 3 to 3.2g per monme. </t>
    <phoneticPr fontId="1" type="noConversion"/>
  </si>
  <si>
    <t>For sake, assume 1 kg per liter.</t>
    <phoneticPr fontId="1" type="noConversion"/>
  </si>
  <si>
    <t>Prices, UK</t>
    <phoneticPr fontId="1" type="noConversion"/>
  </si>
  <si>
    <t>Cost, UK</t>
    <phoneticPr fontId="1" type="noConversion"/>
  </si>
  <si>
    <t xml:space="preserve">Other price time-series available in the same source: </t>
    <phoneticPr fontId="1" type="noConversion"/>
  </si>
  <si>
    <t>Table 7: Retail prices and daily wages of unskilled workers in Edo (Tokyo),  1710-1711, 1713, 1716, 1818-1871</t>
  </si>
  <si>
    <t>Table 8: Retail prices in Osaka, 1713, 1818-1871</t>
  </si>
  <si>
    <t>Types of transactions:</t>
  </si>
  <si>
    <t>Account books</t>
  </si>
  <si>
    <t>Lamp oil prices for GB are thus re-expressed in kilograms for other benchmark dates, using this ratio of 0.47044 liters per kilogram.</t>
    <phoneticPr fontId="1" type="noConversion"/>
  </si>
  <si>
    <t>(Avoir.) = 3.75 kg; 1 kin = 1.3227727 lb (Avoir.) = .6 kg; 1 tan = 8.4848 m; 1 kama =</t>
  </si>
  <si>
    <r>
      <t xml:space="preserve">Mitchell, Brian R. 1988. </t>
    </r>
    <r>
      <rPr>
        <i/>
        <sz val="12"/>
        <rFont val="Arial"/>
      </rPr>
      <t>British Historical Statistics</t>
    </r>
    <r>
      <rPr>
        <sz val="12"/>
        <rFont val="Arial"/>
      </rPr>
      <t>. Cambridge: Cambridge University Press.</t>
    </r>
    <phoneticPr fontId="1" type="noConversion"/>
  </si>
  <si>
    <t>(A.) The present estimates</t>
    <phoneticPr fontId="1" type="noConversion"/>
  </si>
  <si>
    <t>Salt is also excluded despite the availability of price series, for reasons like those for tea.</t>
    <phoneticPr fontId="1" type="noConversion"/>
  </si>
  <si>
    <t>sake</t>
    <phoneticPr fontId="1" type="noConversion"/>
  </si>
  <si>
    <r>
      <t xml:space="preserve">Prices and costs, 1750, using </t>
    </r>
    <r>
      <rPr>
        <b/>
        <sz val="12"/>
        <rFont val="Arial"/>
      </rPr>
      <t>separate diets</t>
    </r>
    <r>
      <rPr>
        <sz val="12"/>
        <rFont val="Arial"/>
      </rPr>
      <t xml:space="preserve"> in Japan and GB</t>
    </r>
    <phoneticPr fontId="1" type="noConversion"/>
  </si>
  <si>
    <t>40 yards = 36.5745 m</t>
  </si>
  <si>
    <t xml:space="preserve"> - 45mm(length)-21mm(width)</t>
    <phoneticPr fontId="1" type="noConversion"/>
  </si>
  <si>
    <t xml:space="preserve"> - Meiwa Gomomme-gin (1765)</t>
    <phoneticPr fontId="1" type="noConversion"/>
  </si>
  <si>
    <t xml:space="preserve"> - Weight: 18.75g.  Fineness: 46 percent.</t>
    <phoneticPr fontId="1" type="noConversion"/>
  </si>
  <si>
    <t>Candles are tallow candles.</t>
    <phoneticPr fontId="1" type="noConversion"/>
  </si>
  <si>
    <r>
      <t xml:space="preserve">Clark gives it as 6.781 gAg per </t>
    </r>
    <r>
      <rPr>
        <u/>
        <sz val="12"/>
        <rFont val="Arial"/>
      </rPr>
      <t>liter</t>
    </r>
    <r>
      <rPr>
        <sz val="12"/>
        <rFont val="Arial"/>
      </rPr>
      <t>.</t>
    </r>
    <phoneticPr fontId="1" type="noConversion"/>
  </si>
  <si>
    <t>m</t>
    <phoneticPr fontId="1" type="noConversion"/>
  </si>
  <si>
    <r>
      <t xml:space="preserve">Prices and costs, 1800, using </t>
    </r>
    <r>
      <rPr>
        <b/>
        <sz val="12"/>
        <rFont val="Arial"/>
      </rPr>
      <t>separate diets</t>
    </r>
    <r>
      <rPr>
        <sz val="12"/>
        <rFont val="Arial"/>
      </rPr>
      <t xml:space="preserve"> in Japan and GB</t>
    </r>
    <phoneticPr fontId="1" type="noConversion"/>
  </si>
  <si>
    <t>Cost, Japan</t>
  </si>
  <si>
    <t>Prices, GB</t>
  </si>
  <si>
    <t>Cost, GB</t>
  </si>
  <si>
    <t>Price ratio</t>
  </si>
  <si>
    <r>
      <t xml:space="preserve">Prices and costs, 1850, using </t>
    </r>
    <r>
      <rPr>
        <b/>
        <sz val="12"/>
        <rFont val="Arial"/>
      </rPr>
      <t>separate diets</t>
    </r>
    <r>
      <rPr>
        <sz val="12"/>
        <rFont val="Arial"/>
      </rPr>
      <t xml:space="preserve"> in Japan and GB</t>
    </r>
    <phoneticPr fontId="1" type="noConversion"/>
  </si>
  <si>
    <r>
      <t xml:space="preserve">Prices and costs, 1870, using </t>
    </r>
    <r>
      <rPr>
        <b/>
        <sz val="12"/>
        <rFont val="Arial"/>
      </rPr>
      <t>separate diets</t>
    </r>
    <r>
      <rPr>
        <sz val="12"/>
        <rFont val="Arial"/>
      </rPr>
      <t xml:space="preserve"> in Japan and GB</t>
    </r>
    <phoneticPr fontId="1" type="noConversion"/>
  </si>
  <si>
    <t xml:space="preserve"> </t>
    <phoneticPr fontId="1" type="noConversion"/>
  </si>
  <si>
    <t>a lower and changing content.  It is possible that the monme coins contained less silver.</t>
  </si>
  <si>
    <t>in Kyoto, Edo (Tokyo) and Osaka; monetary unit: silver monme)</t>
    <phoneticPr fontId="1" type="noConversion"/>
  </si>
  <si>
    <r>
      <t xml:space="preserve">Reference: Mitsui Bunko (1989) </t>
    </r>
    <r>
      <rPr>
        <i/>
        <sz val="12"/>
        <color indexed="8"/>
        <rFont val="Arial"/>
      </rPr>
      <t xml:space="preserve">Trends of Major Prices in Early Modern Japan. </t>
    </r>
    <r>
      <rPr>
        <sz val="12"/>
        <color indexed="8"/>
        <rFont val="Arial"/>
      </rPr>
      <t>University of Tokyo Press.</t>
    </r>
  </si>
  <si>
    <t>1887-1889 (£)</t>
    <phoneticPr fontId="1" type="noConversion"/>
  </si>
  <si>
    <r>
      <t>Mitsui Bunko, Tables 6, 7 and 8 (Retail prices in local physical units and daily wages of unskilled workers (</t>
    </r>
    <r>
      <rPr>
        <i/>
        <sz val="12"/>
        <color indexed="8"/>
        <rFont val="Arial"/>
      </rPr>
      <t>hiyatoi</t>
    </r>
    <r>
      <rPr>
        <sz val="12"/>
        <color indexed="8"/>
        <rFont val="Arial"/>
      </rPr>
      <t>) recorded by branches of Mitsui House</t>
    </r>
    <phoneticPr fontId="1" type="noConversion"/>
  </si>
  <si>
    <t>soap</t>
  </si>
  <si>
    <t>cloth</t>
  </si>
  <si>
    <t>Some data for quarterly periods and years are missing.</t>
    <phoneticPr fontId="1" type="noConversion"/>
  </si>
  <si>
    <t xml:space="preserve">Buckwheat &amp; related grains' price tied to that of rice, based on Bassino-Ma (2005, p. 237).   One could have tied their price trends to those for wheat (mugi) from 1883 on, but this would have yielded a similar result.  </t>
    <phoneticPr fontId="1" type="noConversion"/>
  </si>
  <si>
    <t>to the wheat price in Britain as in Japan after 1870.  Rice was more expensive, relative to wheat, in the sixteenth century and earlier.</t>
    <phoneticPr fontId="1" type="noConversion"/>
  </si>
  <si>
    <t>Sugar = 3.6514 gAg per kg for</t>
    <phoneticPr fontId="1" type="noConversion"/>
  </si>
  <si>
    <t>Using the</t>
    <phoneticPr fontId="1" type="noConversion"/>
  </si>
  <si>
    <t>exch. rate</t>
    <phoneticPr fontId="1" type="noConversion"/>
  </si>
  <si>
    <t>Japan uses Tokyo prices, Britain is UK</t>
    <phoneticPr fontId="1" type="noConversion"/>
  </si>
  <si>
    <t>the Clark series for</t>
    <phoneticPr fontId="1" type="noConversion"/>
  </si>
  <si>
    <t>1867-69, and splice onto</t>
    <phoneticPr fontId="1" type="noConversion"/>
  </si>
  <si>
    <t>this the Board of Trade's</t>
    <phoneticPr fontId="1" type="noConversion"/>
  </si>
  <si>
    <t>index of animal product</t>
    <phoneticPr fontId="1" type="noConversion"/>
  </si>
  <si>
    <t>retail prices.</t>
    <phoneticPr fontId="1" type="noConversion"/>
  </si>
  <si>
    <t>Clark series for 1867-69, and splice the</t>
    <phoneticPr fontId="1" type="noConversion"/>
  </si>
  <si>
    <r>
      <t>Note</t>
    </r>
    <r>
      <rPr>
        <sz val="12"/>
        <color indexed="8"/>
        <rFont val="Arial"/>
      </rPr>
      <t xml:space="preserve">:  There is uncertainty about whether the monme contained the official 3.75 grams of pure silver, or </t>
    </r>
  </si>
  <si>
    <t>Note: yearly average proxied by calculating unweighted average of figures for Spring and Autumn (based on Spring or Autumn figures</t>
    <phoneticPr fontId="1" type="noConversion"/>
  </si>
  <si>
    <t>when data were missing; no attempt to extrapolate missing data on the basis of observed seasonality)</t>
    <phoneticPr fontId="1" type="noConversion"/>
  </si>
  <si>
    <t>units</t>
    <phoneticPr fontId="1" type="noConversion"/>
  </si>
  <si>
    <t>protein</t>
    <phoneticPr fontId="1" type="noConversion"/>
  </si>
  <si>
    <t>Cost, Japan</t>
    <phoneticPr fontId="1" type="noConversion"/>
  </si>
  <si>
    <t>bread</t>
    <phoneticPr fontId="1" type="noConversion"/>
  </si>
  <si>
    <t>kg</t>
    <phoneticPr fontId="1" type="noConversion"/>
  </si>
  <si>
    <t>Conversions to metric system:</t>
  </si>
  <si>
    <t>Physical Conversions to metric system</t>
  </si>
  <si>
    <t>1 kan = 3.75 kg</t>
  </si>
  <si>
    <t>1 kin = 0.6 kg</t>
  </si>
  <si>
    <r>
      <t>Modifications</t>
    </r>
    <r>
      <rPr>
        <sz val="10"/>
        <rFont val="Verdana"/>
      </rPr>
      <t xml:space="preserve">: </t>
    </r>
    <phoneticPr fontId="1" type="noConversion"/>
  </si>
  <si>
    <t>Cotton cloth used instead of linen.</t>
    <phoneticPr fontId="1" type="noConversion"/>
  </si>
  <si>
    <t>Small amount of sugar added.</t>
    <phoneticPr fontId="1" type="noConversion"/>
  </si>
  <si>
    <t>Prices, Tokyo</t>
    <phoneticPr fontId="1" type="noConversion"/>
  </si>
  <si>
    <t>no. of baskets</t>
    <phoneticPr fontId="1" type="noConversion"/>
  </si>
  <si>
    <t>Notes</t>
    <phoneticPr fontId="1" type="noConversion"/>
  </si>
  <si>
    <t>1910-1914 (£)</t>
    <phoneticPr fontId="1" type="noConversion"/>
  </si>
  <si>
    <t>total cost of basket</t>
    <phoneticPr fontId="1" type="noConversion"/>
  </si>
  <si>
    <t>Japan</t>
    <phoneticPr fontId="1" type="noConversion"/>
  </si>
  <si>
    <t>Nominal GDP, mill. Yen</t>
    <phoneticPr fontId="1" type="noConversion"/>
  </si>
  <si>
    <t>Beef price is for the year 1894.</t>
    <phoneticPr fontId="1" type="noConversion"/>
  </si>
  <si>
    <t>Tea is excluded, despite the availability of price series for both countries.</t>
    <phoneticPr fontId="1" type="noConversion"/>
  </si>
  <si>
    <t>calories</t>
  </si>
  <si>
    <t>Calories</t>
  </si>
  <si>
    <t>1 koku of wheat = 136.875</t>
  </si>
  <si>
    <t>Note related to 'mugi':</t>
  </si>
  <si>
    <t>kg</t>
    <phoneticPr fontId="1" type="noConversion"/>
  </si>
  <si>
    <t>Nutrients per day</t>
  </si>
  <si>
    <t>For 1925, one could average 1924-1926 -- but would have to hunt down comparable UK prices.</t>
    <phoneticPr fontId="1" type="noConversion"/>
  </si>
  <si>
    <t>GDP / cap, in £</t>
    <phoneticPr fontId="1" type="noConversion"/>
  </si>
  <si>
    <t>(Notes for 1887-1926 resume below the green box.)</t>
    <phoneticPr fontId="1" type="noConversion"/>
  </si>
  <si>
    <t>"short cut"</t>
    <phoneticPr fontId="1" type="noConversion"/>
  </si>
  <si>
    <t>Basic purchasing power of GDP/capita</t>
    <phoneticPr fontId="1" type="noConversion"/>
  </si>
  <si>
    <t>Adjusted to ~1,958 cal,</t>
    <phoneticPr fontId="1" type="noConversion"/>
  </si>
  <si>
    <t>(B.) Comparisons with other scholars' estimates of Japan's real GDP/capita as a % of "UK"</t>
    <phoneticPr fontId="1" type="noConversion"/>
  </si>
  <si>
    <t>(Prados)</t>
    <phoneticPr fontId="1" type="noConversion"/>
  </si>
  <si>
    <t>per monme, and 1.725g of pure silver per monme for these particular coins (46% fineness).</t>
    <phoneticPr fontId="1" type="noConversion"/>
  </si>
  <si>
    <t xml:space="preserve">Comparing Consumer Purchasing Powers of Nominal GDP, </t>
    <phoneticPr fontId="1" type="noConversion"/>
  </si>
  <si>
    <t>Japan versus Britain, 1888 and 1912</t>
    <phoneticPr fontId="1" type="noConversion"/>
  </si>
  <si>
    <r>
      <t xml:space="preserve">The main source used by David Jacks is </t>
    </r>
    <r>
      <rPr>
        <i/>
        <sz val="12"/>
        <rFont val="Arial"/>
      </rPr>
      <t>Financial and Economic Annual of Japan</t>
    </r>
    <r>
      <rPr>
        <sz val="12"/>
        <rFont val="Arial"/>
      </rPr>
      <t>; TOKYO: DEPT. OF FINANCE GPO, various years.</t>
    </r>
    <phoneticPr fontId="1" type="noConversion"/>
  </si>
  <si>
    <t xml:space="preserve">That's </t>
    <phoneticPr fontId="1" type="noConversion"/>
  </si>
  <si>
    <t>£/lb.</t>
    <phoneticPr fontId="1" type="noConversion"/>
  </si>
  <si>
    <t>or</t>
    <phoneticPr fontId="1" type="noConversion"/>
  </si>
  <si>
    <t>£/kg</t>
    <phoneticPr fontId="1" type="noConversion"/>
  </si>
  <si>
    <t>An alternative estimation of the silver content of the monme comes from the Bank of Japan's research center, which gives</t>
  </si>
  <si>
    <t>the research center of Bank of Japan);</t>
  </si>
  <si>
    <t>candles</t>
  </si>
  <si>
    <t>lamp oil</t>
  </si>
  <si>
    <t>mill BTU</t>
  </si>
  <si>
    <t>sugar</t>
  </si>
  <si>
    <t>calories per day =</t>
  </si>
  <si>
    <t>b'n flour</t>
  </si>
  <si>
    <t>corn flour</t>
  </si>
  <si>
    <t>rice</t>
  </si>
  <si>
    <r>
      <t xml:space="preserve">Prices and costs, 1713, using </t>
    </r>
    <r>
      <rPr>
        <b/>
        <sz val="12"/>
        <rFont val="Arial"/>
      </rPr>
      <t>separate diets</t>
    </r>
    <r>
      <rPr>
        <sz val="12"/>
        <rFont val="Arial"/>
      </rPr>
      <t xml:space="preserve"> in Japan and GB</t>
    </r>
    <phoneticPr fontId="1" type="noConversion"/>
  </si>
  <si>
    <t>M BTU</t>
  </si>
  <si>
    <t>file in http://gpih.ucdavis.edu, supplied by Jean-Pascal Bassino in 2006. His notes for the file follow here, in the green box:</t>
    <phoneticPr fontId="1" type="noConversion"/>
  </si>
  <si>
    <t>1887-1889 (£)</t>
    <phoneticPr fontId="1" type="noConversion"/>
  </si>
  <si>
    <t>apply up through the period 1910-1914.</t>
    <phoneticPr fontId="1" type="noConversion"/>
  </si>
  <si>
    <t>In April 2006 Peter Lindert and Salvadore Puente reformatted the file and converted values into sterling.</t>
    <phoneticPr fontId="1" type="noConversion"/>
  </si>
  <si>
    <t>price for 1887-89. The Board of Trade</t>
    <phoneticPr fontId="1" type="noConversion"/>
  </si>
  <si>
    <t>It is therefore assumed that 'mugi' is wheat.</t>
    <phoneticPr fontId="1" type="noConversion"/>
  </si>
  <si>
    <t xml:space="preserve">The soybean price is assumed to have the same relationship(ratio) </t>
    <phoneticPr fontId="1" type="noConversion"/>
  </si>
  <si>
    <t>Japan uses Kyoto prices, Britain is Great Britain</t>
    <phoneticPr fontId="1" type="noConversion"/>
  </si>
  <si>
    <t xml:space="preserve">  "</t>
    <phoneticPr fontId="1" type="noConversion"/>
  </si>
  <si>
    <r>
      <t xml:space="preserve">The nominal GDP and population of Great Britain up to 1870 is from the 2013 files underlying Broadberry </t>
    </r>
    <r>
      <rPr>
        <i/>
        <sz val="12"/>
        <rFont val="Arial"/>
      </rPr>
      <t>et al.</t>
    </r>
    <r>
      <rPr>
        <sz val="12"/>
        <rFont val="Arial"/>
      </rPr>
      <t xml:space="preserve"> (2015).  Thereafter the Brian Mitchell (1988) series.</t>
    </r>
    <phoneticPr fontId="1" type="noConversion"/>
  </si>
  <si>
    <r>
      <t>British prices, 1713-1870</t>
    </r>
    <r>
      <rPr>
        <sz val="12"/>
        <rFont val="Arial"/>
      </rPr>
      <t xml:space="preserve">: Mostly from Gregory Clark's file downloadable from http://gpih.ucdavis.edu, under "main data series." </t>
    </r>
    <phoneticPr fontId="1" type="noConversion"/>
  </si>
  <si>
    <t>Board of Trade's "textile fibres" series</t>
    <phoneticPr fontId="1" type="noConversion"/>
  </si>
  <si>
    <t xml:space="preserve">For cotton cloth, start with the </t>
    <phoneticPr fontId="1" type="noConversion"/>
  </si>
  <si>
    <t>adjusted from 1,810 calories to 1,958 calories</t>
    <phoneticPr fontId="1" type="noConversion"/>
  </si>
  <si>
    <t>The latest quinquennium, 1865-1869, finds that the rice price</t>
    <phoneticPr fontId="1" type="noConversion"/>
  </si>
  <si>
    <t>Prices, UK</t>
    <phoneticPr fontId="1" type="noConversion"/>
  </si>
  <si>
    <t>Cost, UK</t>
    <phoneticPr fontId="1" type="noConversion"/>
  </si>
  <si>
    <t>Nominal GDP, mill.£</t>
    <phoneticPr fontId="1" type="noConversion"/>
  </si>
  <si>
    <t>Pop'n in mill.</t>
    <phoneticPr fontId="1" type="noConversion"/>
  </si>
  <si>
    <t>" Per person-yr" = per adult male per year.</t>
    <phoneticPr fontId="1" type="noConversion"/>
  </si>
  <si>
    <t xml:space="preserve"> </t>
    <phoneticPr fontId="1" type="noConversion"/>
  </si>
  <si>
    <t>kg</t>
    <phoneticPr fontId="1" type="noConversion"/>
  </si>
  <si>
    <t>Column-specific footnotes:</t>
    <phoneticPr fontId="1" type="noConversion"/>
  </si>
  <si>
    <t>Ratio</t>
    <phoneticPr fontId="1" type="noConversion"/>
  </si>
  <si>
    <t>Bread calories and protein virtually match those used by Allen and Studer for India.</t>
    <phoneticPr fontId="1" type="noConversion"/>
  </si>
  <si>
    <t xml:space="preserve"> </t>
    <phoneticPr fontId="1" type="noConversion"/>
  </si>
  <si>
    <t>m</t>
    <phoneticPr fontId="1" type="noConversion"/>
  </si>
  <si>
    <t>Rice protein of 75/kg is an average of 80 for brown rice and 70 for white rice.  The 75 happens to match what Allen and Studer used for India.</t>
    <phoneticPr fontId="1" type="noConversion"/>
  </si>
  <si>
    <r>
      <t xml:space="preserve">Prices and costs, 1888, using </t>
    </r>
    <r>
      <rPr>
        <b/>
        <sz val="12"/>
        <rFont val="Arial"/>
      </rPr>
      <t>separate diets</t>
    </r>
    <r>
      <rPr>
        <sz val="12"/>
        <rFont val="Arial"/>
      </rPr>
      <t xml:space="preserve"> in Japan and UK</t>
    </r>
    <phoneticPr fontId="1" type="noConversion"/>
  </si>
  <si>
    <t>beef</t>
    <phoneticPr fontId="1" type="noConversion"/>
  </si>
  <si>
    <t>Salt, soy, tea, tobacco, rye, shirtings (for.), oilcake, coal, and paper (Japanese)</t>
    <phoneticPr fontId="1" type="noConversion"/>
  </si>
  <si>
    <t>Used mostly Clark, some Allen in gpih.ucdavis.edu.</t>
    <phoneticPr fontId="1" type="noConversion"/>
  </si>
  <si>
    <t xml:space="preserve">Converting Clark's and Allen's prices into the present units </t>
    <phoneticPr fontId="1" type="noConversion"/>
  </si>
  <si>
    <t>is assisted by the average silver prices of the pound stering:</t>
    <phoneticPr fontId="1" type="noConversion"/>
  </si>
  <si>
    <t>Japan</t>
    <phoneticPr fontId="1" type="noConversion"/>
  </si>
  <si>
    <t>Britain</t>
    <phoneticPr fontId="1" type="noConversion"/>
  </si>
  <si>
    <t>ratio</t>
    <phoneticPr fontId="1" type="noConversion"/>
  </si>
  <si>
    <t>GDP / cap, in baskets</t>
    <phoneticPr fontId="1" type="noConversion"/>
  </si>
  <si>
    <t>Column-specific footnotes:</t>
    <phoneticPr fontId="1" type="noConversion"/>
  </si>
  <si>
    <t>gAg = grams of pure silver</t>
    <phoneticPr fontId="1" type="noConversion"/>
  </si>
  <si>
    <t>£</t>
    <phoneticPr fontId="1" type="noConversion"/>
  </si>
  <si>
    <t>This project's "basic</t>
    <phoneticPr fontId="1" type="noConversion"/>
  </si>
  <si>
    <r>
      <t xml:space="preserve">Prices and costs, 1912, using </t>
    </r>
    <r>
      <rPr>
        <b/>
        <sz val="12"/>
        <rFont val="Arial"/>
      </rPr>
      <t>separate diets</t>
    </r>
    <r>
      <rPr>
        <sz val="12"/>
        <rFont val="Arial"/>
      </rPr>
      <t xml:space="preserve"> in Japan and UK</t>
    </r>
    <phoneticPr fontId="1" type="noConversion"/>
  </si>
  <si>
    <t>1910-1914 (£)</t>
    <phoneticPr fontId="1" type="noConversion"/>
  </si>
  <si>
    <r>
      <t xml:space="preserve">Bassino, Jean-Pascal and Ma, Debin. 2005. “Japanese Unskilled Wages in International Perspective, 1741-1913.” </t>
    </r>
    <r>
      <rPr>
        <i/>
        <sz val="12"/>
        <rFont val="Arial"/>
      </rPr>
      <t>Research in Economic History</t>
    </r>
    <r>
      <rPr>
        <sz val="12"/>
        <rFont val="Arial"/>
      </rPr>
      <t xml:space="preserve"> 23: 229-248.</t>
    </r>
    <phoneticPr fontId="1" type="noConversion"/>
  </si>
  <si>
    <t>Could also try the Allen-based "bare-bones' bread diet,</t>
  </si>
  <si>
    <t>or the Broadberry et al. "respectability" diet.</t>
    <phoneticPr fontId="1" type="noConversion"/>
  </si>
  <si>
    <t>Latest beef price, UK 1905 = 8 d /lb. (Williamson 1988).</t>
    <phoneticPr fontId="1" type="noConversion"/>
  </si>
  <si>
    <t>Fuel is omitted due to suspicions of non-comparability between the Kyoto "burning wood" series and the fuel series for England.</t>
    <phoneticPr fontId="1" type="noConversion"/>
  </si>
  <si>
    <t>Pop'n in mill.</t>
    <phoneticPr fontId="1" type="noConversion"/>
  </si>
  <si>
    <t>GDP / cap, in gAg</t>
    <phoneticPr fontId="1" type="noConversion"/>
  </si>
  <si>
    <t>GDP / cap, in baskets</t>
    <phoneticPr fontId="1" type="noConversion"/>
  </si>
  <si>
    <t>All prices in yen; prices for 1906-1914 are those for Tokyo rescaled by the ratio of prices in 1905.</t>
  </si>
  <si>
    <t>GB prices are averages for 1709-1717, from Clark.</t>
    <phoneticPr fontId="1" type="noConversion"/>
  </si>
  <si>
    <t xml:space="preserve"> </t>
    <phoneticPr fontId="1" type="noConversion"/>
  </si>
  <si>
    <t>modified to match "Japan A" for non-foods</t>
    <phoneticPr fontId="1" type="noConversion"/>
  </si>
  <si>
    <t>with a liter of sake added.</t>
    <phoneticPr fontId="1" type="noConversion"/>
  </si>
  <si>
    <t>Sake assumed to be sipped only for ceremonies.</t>
    <phoneticPr fontId="1" type="noConversion"/>
  </si>
  <si>
    <t xml:space="preserve"> </t>
    <phoneticPr fontId="1" type="noConversion"/>
  </si>
  <si>
    <t>Gms protein</t>
  </si>
  <si>
    <t>wheat flour</t>
  </si>
  <si>
    <t>kg</t>
  </si>
  <si>
    <t>millet</t>
  </si>
  <si>
    <t>Rice prices are unavailable in Allen's data set after 1830, and unavailable inb Clark's after 1869.</t>
    <phoneticPr fontId="1" type="noConversion"/>
  </si>
  <si>
    <r>
      <t xml:space="preserve">The nominal GDP of Japan, in grams of silver, is the real GDP estimated by Fukao </t>
    </r>
    <r>
      <rPr>
        <i/>
        <sz val="12"/>
        <rFont val="Arial"/>
      </rPr>
      <t xml:space="preserve">et al. </t>
    </r>
    <r>
      <rPr>
        <sz val="12"/>
        <rFont val="Arial"/>
      </rPr>
      <t>(2015) times the rice price given by the Mitsui (1989) - Bassino (2006) file described below.</t>
    </r>
    <phoneticPr fontId="1" type="noConversion"/>
  </si>
  <si>
    <t>Prices, Kyoto</t>
    <phoneticPr fontId="1" type="noConversion"/>
  </si>
  <si>
    <t xml:space="preserve"> </t>
    <phoneticPr fontId="1" type="noConversion"/>
  </si>
  <si>
    <t>The 1870 prices are averages prices for 1869-1871.</t>
    <phoneticPr fontId="1" type="noConversion"/>
  </si>
  <si>
    <t>Silver conversion 3: See the rates chronology in https://en.wikipedia.org/wiki/Ry%C5%8D#Tokugawa_period</t>
    <phoneticPr fontId="1" type="noConversion"/>
  </si>
  <si>
    <t>series is given in Mitchell (1988, pp. 725-27).</t>
    <phoneticPr fontId="1" type="noConversion"/>
  </si>
  <si>
    <t>Prados</t>
    <phoneticPr fontId="1" type="noConversion"/>
  </si>
  <si>
    <t>NB: 1 koku = 39.703313 gallons = 4.96005 bushels = 100 sho = 180.39 liters; 1 kwan = 8.2673297 lb =3.75 kilograms</t>
  </si>
  <si>
    <t xml:space="preserve">1887-89, or </t>
    <phoneticPr fontId="1" type="noConversion"/>
  </si>
  <si>
    <t>159.1 gAg per £ for 1887-1889 and 264.3 gAg per £ in 1910-1914.</t>
    <phoneticPr fontId="1" type="noConversion"/>
  </si>
  <si>
    <r>
      <t xml:space="preserve">For the exchange rates used to convert yen into sterling here, see Bank of Japan, Statistics Department, </t>
    </r>
    <r>
      <rPr>
        <i/>
        <sz val="12"/>
        <rFont val="Times New Roman"/>
      </rPr>
      <t/>
    </r>
    <phoneticPr fontId="20" type="noConversion"/>
  </si>
  <si>
    <r>
      <t>Hundred-year Statistics of the Japanese Economy</t>
    </r>
    <r>
      <rPr>
        <sz val="12"/>
        <rFont val="Arial"/>
      </rPr>
      <t xml:space="preserve"> (Tokyo: Bank of Japan 1966), pp.318-321.</t>
    </r>
    <phoneticPr fontId="20" type="noConversion"/>
  </si>
  <si>
    <t xml:space="preserve">The file was transmitted by David Jacks to Peter Lindert 2 March 2006; </t>
    <phoneticPr fontId="1" type="noConversion"/>
  </si>
  <si>
    <t>Real GDP, 1000 koku</t>
    <phoneticPr fontId="1" type="noConversion"/>
  </si>
  <si>
    <t>Nominal GDP, mill.£</t>
    <phoneticPr fontId="1" type="noConversion"/>
  </si>
  <si>
    <t>Some are from Robert Allen's price file for London and Southern England, also downloadable at gpih.ucdavis.edu.</t>
    <phoneticPr fontId="1" type="noConversion"/>
  </si>
  <si>
    <r>
      <t>Japan prices, 1887-1926</t>
    </r>
    <r>
      <rPr>
        <sz val="12"/>
        <rFont val="Arial"/>
      </rPr>
      <t>:</t>
    </r>
    <phoneticPr fontId="1" type="noConversion"/>
  </si>
  <si>
    <t>The source = The file "Japan 1885-1926," downloadable from http://gpih.ucdavis.edu.</t>
    <phoneticPr fontId="1" type="noConversion"/>
  </si>
  <si>
    <t>Comparing Consumer Purchasing Powers of Nominal GDP, Japan versus Britain, 1602 and 1648</t>
    <phoneticPr fontId="1" type="noConversion"/>
  </si>
  <si>
    <t xml:space="preserve">calorie ratio </t>
    <phoneticPr fontId="1" type="noConversion"/>
  </si>
  <si>
    <t>for each food.</t>
    <phoneticPr fontId="1" type="noConversion"/>
  </si>
  <si>
    <t>using a 1.0684</t>
    <phoneticPr fontId="1" type="noConversion"/>
  </si>
  <si>
    <t>Britain (UK)</t>
    <phoneticPr fontId="1" type="noConversion"/>
  </si>
  <si>
    <t xml:space="preserve">per kilogram is 0.96 of the price of a kilo of wheat.  </t>
    <phoneticPr fontId="1" type="noConversion"/>
  </si>
  <si>
    <t xml:space="preserve">To generate rice price estimates, this ratio is assumed to </t>
    <phoneticPr fontId="1" type="noConversion"/>
  </si>
  <si>
    <t>£</t>
    <phoneticPr fontId="1" type="noConversion"/>
  </si>
  <si>
    <t>As many different coins were circulated, it seems safer to assume that Mitsui Bunko prices are measured in monme of pure silver; a slightly</t>
    <phoneticPr fontId="1" type="noConversion"/>
  </si>
  <si>
    <t xml:space="preserve">different assumption would be to consider that prices are measured in terms of relatively pure silver ingots (about 80 to 85 % of silver content), </t>
    <phoneticPr fontId="1" type="noConversion"/>
  </si>
  <si>
    <t xml:space="preserve">2d per lb., so 1910-14 =  </t>
    <phoneticPr fontId="1" type="noConversion"/>
  </si>
  <si>
    <t>1910-14 UK =</t>
    <phoneticPr fontId="1" type="noConversion"/>
  </si>
  <si>
    <t>£/kg</t>
    <phoneticPr fontId="1" type="noConversion"/>
  </si>
  <si>
    <t>£/kg</t>
    <phoneticPr fontId="1" type="noConversion"/>
  </si>
  <si>
    <t>Silver conversion 1:  Accept Iwahashi's (1981) and Mitsui's verdicts about the lower unofficial silver content of the monme.  For the years in this workshet, use 0.75 gAg per monme.</t>
    <phoneticPr fontId="1" type="noConversion"/>
  </si>
  <si>
    <t>Column-specific footnotes:</t>
    <phoneticPr fontId="1" type="noConversion"/>
  </si>
  <si>
    <t>Basket costs</t>
    <phoneticPr fontId="1" type="noConversion"/>
  </si>
  <si>
    <t>GDP/capita, nominal</t>
    <phoneticPr fontId="1" type="noConversion"/>
  </si>
  <si>
    <t>gAg</t>
    <phoneticPr fontId="1" type="noConversion"/>
  </si>
  <si>
    <t xml:space="preserve">Cotton cloth is used here instead of linen, since the Kimura price data include only cottons.  </t>
    <phoneticPr fontId="1" type="noConversion"/>
  </si>
  <si>
    <t>Prices, Osaka</t>
    <phoneticPr fontId="1" type="noConversion"/>
  </si>
  <si>
    <t>Cost, Japan</t>
    <phoneticPr fontId="1" type="noConversion"/>
  </si>
  <si>
    <t>Prices, Eng</t>
    <phoneticPr fontId="1" type="noConversion"/>
  </si>
  <si>
    <t>Cost, Eng</t>
    <phoneticPr fontId="1" type="noConversion"/>
  </si>
  <si>
    <t>Price ratio</t>
    <phoneticPr fontId="1" type="noConversion"/>
  </si>
  <si>
    <t>total cost of basket</t>
    <phoneticPr fontId="1" type="noConversion"/>
  </si>
  <si>
    <t>Japan</t>
    <phoneticPr fontId="1" type="noConversion"/>
  </si>
  <si>
    <t>Ratio</t>
    <phoneticPr fontId="1" type="noConversion"/>
  </si>
  <si>
    <t>Now using</t>
    <phoneticPr fontId="1" type="noConversion"/>
  </si>
  <si>
    <t>Nominal GDP from Mitchell (2005)</t>
    <phoneticPr fontId="1" type="noConversion"/>
  </si>
  <si>
    <t xml:space="preserve"> </t>
    <phoneticPr fontId="1" type="noConversion"/>
  </si>
  <si>
    <t>For 1888, average the prices and GDP for 1887-1889</t>
    <phoneticPr fontId="1" type="noConversion"/>
  </si>
  <si>
    <t>For 1912, average the prices and GDP for 1910-1914</t>
    <phoneticPr fontId="1" type="noConversion"/>
  </si>
  <si>
    <t>for beef, but starting with the 1905 price of</t>
    <phoneticPr fontId="1" type="noConversion"/>
  </si>
  <si>
    <t>Prices are simple averages of those reported within thr 1600-1604 period, except that the sake price also allows the 1605 price to affect the average.</t>
    <phoneticPr fontId="1" type="noConversion"/>
  </si>
  <si>
    <t>Silver conversion 2: The Bassino file (2006) got 25 gAg per yen, or 3.75 gAg per monme, which differs from the Bassino-Ma conversion rate of 3.11 gAg (pure) per monme (2005, p. 238). They also expressed uncertainty. Don't use their rate, for better continuity between periods.</t>
    <phoneticPr fontId="1" type="noConversion"/>
  </si>
  <si>
    <t xml:space="preserve">"Oil" is assumed to be either lamp oil or edible oil, following the Bassino-Ma assumption that they had the same price per liter. </t>
    <phoneticPr fontId="1" type="noConversion"/>
  </si>
  <si>
    <r>
      <t xml:space="preserve">Prices and costs, 1602, using </t>
    </r>
    <r>
      <rPr>
        <b/>
        <sz val="12"/>
        <rFont val="Arial"/>
      </rPr>
      <t>separate diets</t>
    </r>
    <r>
      <rPr>
        <sz val="12"/>
        <rFont val="Arial"/>
      </rPr>
      <t xml:space="preserve"> in Japan and England</t>
    </r>
    <phoneticPr fontId="1" type="noConversion"/>
  </si>
  <si>
    <r>
      <t xml:space="preserve">Prices and costs, 1648, using </t>
    </r>
    <r>
      <rPr>
        <b/>
        <sz val="12"/>
        <rFont val="Arial"/>
      </rPr>
      <t>separate diets</t>
    </r>
    <r>
      <rPr>
        <sz val="12"/>
        <rFont val="Arial"/>
      </rPr>
      <t xml:space="preserve"> in Japan and England</t>
    </r>
    <phoneticPr fontId="1" type="noConversion"/>
  </si>
  <si>
    <t>Real GDP, 1000 koku</t>
    <phoneticPr fontId="1" type="noConversion"/>
  </si>
  <si>
    <t>Nominal GDP, mil. gAg</t>
    <phoneticPr fontId="1" type="noConversion"/>
  </si>
  <si>
    <t>I have averaged the annual averages of the spring and fall prices, for centered nine-year periods (1709-1717, 1746-1754, 1796-1804, etc.).</t>
    <phoneticPr fontId="1" type="noConversion"/>
  </si>
  <si>
    <t>Centered nine-year averages for 1746-1754.</t>
    <phoneticPr fontId="1" type="noConversion"/>
  </si>
  <si>
    <t xml:space="preserve"> </t>
    <phoneticPr fontId="1" type="noConversion"/>
  </si>
  <si>
    <t>Silver conversion 1:  Accept Iwahashi's (1981) and Mitsui's verdicts about the lower unofficial silver content of the monme.  For the years in this worksheet, use 0.75 gAg per monme.</t>
    <phoneticPr fontId="1" type="noConversion"/>
  </si>
  <si>
    <t>This basket, from the 2009 Allen-Studer</t>
    <phoneticPr fontId="1" type="noConversion"/>
  </si>
  <si>
    <t>Soybean price converted from per-liter (Kimura) to per-kg using the USDA weight/volume ratio of 0.772.</t>
    <phoneticPr fontId="1" type="noConversion"/>
  </si>
  <si>
    <t>Beans other than soy were assumed to have the same price as soybeans.  They too have a USDA weight/volume ratio of 0.772, but it is not used here because the assumed quantities are in liters.</t>
    <phoneticPr fontId="1" type="noConversion"/>
  </si>
  <si>
    <t>purchasing power"</t>
    <phoneticPr fontId="1" type="noConversion"/>
  </si>
  <si>
    <t xml:space="preserve">CAUTION: 1866-1870 was a period of much higher prices in (apparent) silver content, wheras 1871 saw the prices lower again for rice and some other commodities.  So averaging 1869-1871 may involve mixing monetary regimes.  </t>
    <phoneticPr fontId="1" type="noConversion"/>
  </si>
  <si>
    <t>The Kyoto prices for 1745-1754 from Bassino and Ma (2005, p. 237) differ from the 1746-1754 values given in this gpih file from Bassino (2006). The latter are used here, except for fish.</t>
    <phoneticPr fontId="1" type="noConversion"/>
  </si>
  <si>
    <t>Ratios to rice prices, assumed by Bassino &amp; Ma (2005, p. 238): Borrowing early Meiji ratios, wheat &amp; barley = 0.51 * rice, buckwheat &amp;other grains = 0.41, and beans = 0.63. (That should have given them 0.94 for beans, but they report 0.99.) They also assume that the price of soybeans = 1.00 * rice price, though the Kimura data say otherwise.</t>
    <phoneticPr fontId="1" type="noConversion"/>
  </si>
  <si>
    <r>
      <t>Many prices are tied to rice price</t>
    </r>
    <r>
      <rPr>
        <sz val="12"/>
        <rFont val="Arial"/>
      </rPr>
      <t>, based on 1745-1754:</t>
    </r>
    <phoneticPr fontId="1" type="noConversion"/>
  </si>
  <si>
    <t>file, differs from the basket in Allen's 2005</t>
    <phoneticPr fontId="1" type="noConversion"/>
  </si>
  <si>
    <t>book chapter, which was used by</t>
    <phoneticPr fontId="1" type="noConversion"/>
  </si>
  <si>
    <t>Bassino and Ma (2005).</t>
    <phoneticPr fontId="1" type="noConversion"/>
  </si>
  <si>
    <t xml:space="preserve"> </t>
    <phoneticPr fontId="1" type="noConversion"/>
  </si>
  <si>
    <t xml:space="preserve"> </t>
    <phoneticPr fontId="1" type="noConversion"/>
  </si>
  <si>
    <t>Broadberry, Stephen, Bruce Campbell, Alexander Klein, Mark Overton, and Bas van Leeuwen. 2015. British Economic Growth, 1270-1870. Cambridge: Cambridge University Press.</t>
  </si>
  <si>
    <t>Prices, Edo</t>
    <phoneticPr fontId="1" type="noConversion"/>
  </si>
  <si>
    <t>Britain (GB)</t>
    <phoneticPr fontId="1" type="noConversion"/>
  </si>
  <si>
    <t>Assumption used throughout this Bassino file: 1 silver monme = 3.75 grams pure silver</t>
    <phoneticPr fontId="1" type="noConversion"/>
  </si>
  <si>
    <t>Japan nom GDP/capita 1910-1914 in yen =</t>
  </si>
  <si>
    <t xml:space="preserve">Bassino and van der Eng get 98 for 1913.  </t>
  </si>
  <si>
    <t xml:space="preserve"> </t>
  </si>
  <si>
    <t>Nominal GDP in yen is from Mitchell.</t>
  </si>
  <si>
    <t xml:space="preserve">For 1913, </t>
  </si>
  <si>
    <t>(Mitchell)</t>
  </si>
  <si>
    <t>adjusted from 1,810 calories to 1,942 calories</t>
  </si>
  <si>
    <t>total cost of basket, 1887-1889</t>
  </si>
  <si>
    <t>No prices for soap, linen, candles, lamp oil.</t>
  </si>
  <si>
    <t>Edible oil, soap, linen, candles, and lamp oil omitted, for lack of price series;</t>
  </si>
  <si>
    <t>Beans and peas replaced by more soybeans with similar total calories.</t>
  </si>
  <si>
    <t>"Japan A" basket (Bassino and Ma), modified by replacing</t>
  </si>
  <si>
    <t>a bit of rice with wheat and barley, for which prices are available.</t>
  </si>
  <si>
    <t>Japan 1750 =</t>
  </si>
  <si>
    <t>Britain 1750 =</t>
  </si>
  <si>
    <t>million gAg</t>
  </si>
  <si>
    <t xml:space="preserve">nominal GDP minus the implied consumption of staples. </t>
  </si>
  <si>
    <t>This expenditure on non-staples would be</t>
  </si>
  <si>
    <t>ditto, per capita =</t>
  </si>
  <si>
    <t>gAg</t>
  </si>
  <si>
    <t xml:space="preserve">percent.  </t>
  </si>
  <si>
    <t xml:space="preserve">Or a whoppingly low ratio of </t>
  </si>
  <si>
    <t>than this ratio, and the ratio of their abilities to buy staples were also more</t>
  </si>
  <si>
    <t xml:space="preserve">equal than this, then the ratio in the implicit price of non-staples </t>
  </si>
  <si>
    <t>If the average person consumed, say, 75% of this adult-male staple diet,</t>
  </si>
  <si>
    <t>their (unmeasured) prices of the non-staples.</t>
  </si>
  <si>
    <r>
      <rPr>
        <b/>
        <sz val="12"/>
        <rFont val="Arial"/>
      </rPr>
      <t xml:space="preserve">IF </t>
    </r>
    <r>
      <rPr>
        <sz val="12"/>
        <rFont val="Arial"/>
      </rPr>
      <t xml:space="preserve">the currently accepted real non-staple products per capita were much more equal </t>
    </r>
  </si>
  <si>
    <r>
      <rPr>
        <u/>
        <sz val="16"/>
        <rFont val="Arial"/>
      </rPr>
      <t>Implications for non-staples</t>
    </r>
    <r>
      <rPr>
        <sz val="16"/>
        <rFont val="Arial"/>
      </rPr>
      <t>:</t>
    </r>
  </si>
  <si>
    <t xml:space="preserve">and with no trade,* then total expenditures on non-staples would be </t>
  </si>
  <si>
    <t>(*This set-up for imagining the total consumption of staples resembles that</t>
  </si>
  <si>
    <t>from the production/consumption ratio, population, consumption per head,</t>
  </si>
  <si>
    <t xml:space="preserve">used by Crafts (197_, 1985), Allen (2000), and </t>
  </si>
  <si>
    <r>
      <t xml:space="preserve">Bassino </t>
    </r>
    <r>
      <rPr>
        <i/>
        <sz val="12"/>
        <rFont val="Arial"/>
      </rPr>
      <t>et al.</t>
    </r>
    <r>
      <rPr>
        <sz val="12"/>
        <rFont val="Arial"/>
      </rPr>
      <t xml:space="preserve"> (2015, p. 12) to derive agricultural output</t>
    </r>
  </si>
  <si>
    <t xml:space="preserve">and elasticities of food demand.)  </t>
  </si>
  <si>
    <t>(luxuries, government, and capital formation) would be even lower than 7%.</t>
  </si>
  <si>
    <t>Possible?</t>
  </si>
  <si>
    <t xml:space="preserve">of the ratio of the two countries' real non-staple products per capita and </t>
  </si>
  <si>
    <t xml:space="preserve">This international ratio of non-staple expenditures per capita is the product </t>
  </si>
  <si>
    <t>adjusted from 1,810 calories to ~1,942 calories</t>
  </si>
  <si>
    <t>(in grams of silver)</t>
  </si>
  <si>
    <t>(Ave wheat, for</t>
  </si>
  <si>
    <t xml:space="preserve"> 1798-1802)</t>
  </si>
  <si>
    <t xml:space="preserve"> 1848-1852)</t>
  </si>
  <si>
    <t>Table 7.A of Bassino et al. (2015) gives millions of population as "1000s".  See also Fukao et al. (2015, p. 231).</t>
  </si>
  <si>
    <t xml:space="preserve">Kimura, Masahiro. 1987. La Revolución de los precios en la cuenca del pacífico, 1600-1650. Ciudad de México: Universidad Nacional Autónoma de México, Facultad de Economía.  </t>
  </si>
  <si>
    <r>
      <t xml:space="preserve">Fukao, Kyoji, Jean-Pascal Bassino, Tatsuji Makino, Ralph Paprzycki, Tokihiko Settsu, Masanori Takashima, and Joji Tokui. 2015. </t>
    </r>
    <r>
      <rPr>
        <i/>
        <sz val="12"/>
        <rFont val="Arial"/>
      </rPr>
      <t>Regional Inequality and Industrial Structure in Japan, 1874-2008.</t>
    </r>
    <r>
      <rPr>
        <sz val="12"/>
        <rFont val="Arial"/>
      </rPr>
      <t xml:space="preserve"> Tokyo: Maruzen.</t>
    </r>
  </si>
  <si>
    <r>
      <t xml:space="preserve">Saito, Osamu and Masanori Takashima. 2016. “Estimating the shares of secondary- and tertiary-sector outputs in the age of early modern growth: the case of Japan, 1600-1874.” </t>
    </r>
    <r>
      <rPr>
        <i/>
        <sz val="12"/>
        <rFont val="Arial"/>
      </rPr>
      <t>European Review of Economic History</t>
    </r>
    <r>
      <rPr>
        <sz val="12"/>
        <rFont val="Arial"/>
      </rPr>
      <t xml:space="preserve"> 20: 368-86.</t>
    </r>
  </si>
  <si>
    <t xml:space="preserve">I thank Masanori Takashima for supplying updated estimates of real GDP denominated in koku of rice, estimates that underlie some of the results in their EREH article.   </t>
  </si>
  <si>
    <t>Did not use</t>
  </si>
  <si>
    <t>Lindert, nov2016</t>
  </si>
  <si>
    <t>Results used in Peter H. Lindert, “Purchasing Power Disparity before 1914,” NBER working paper 22896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</si>
</sst>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
    <numFmt numFmtId="167" formatCode="#,##0.0"/>
    <numFmt numFmtId="168" formatCode="0.00000"/>
    <numFmt numFmtId="169" formatCode="0.0000"/>
  </numFmts>
  <fonts count="33" x14ac:knownFonts="1">
    <font>
      <sz val="10"/>
      <name val="Verdana"/>
    </font>
    <font>
      <sz val="8"/>
      <name val="Verdana"/>
    </font>
    <font>
      <b/>
      <sz val="12"/>
      <name val="Arial"/>
    </font>
    <font>
      <sz val="12"/>
      <name val="Arial"/>
    </font>
    <font>
      <sz val="12"/>
      <color indexed="8"/>
      <name val="Arial"/>
    </font>
    <font>
      <sz val="12"/>
      <color indexed="14"/>
      <name val="Arial"/>
    </font>
    <font>
      <b/>
      <sz val="12"/>
      <color indexed="10"/>
      <name val="Arial"/>
    </font>
    <font>
      <sz val="12"/>
      <color indexed="10"/>
      <name val="Arial"/>
    </font>
    <font>
      <i/>
      <sz val="12"/>
      <name val="Arial"/>
    </font>
    <font>
      <sz val="10"/>
      <name val="Arial"/>
    </font>
    <font>
      <u/>
      <sz val="12"/>
      <name val="Arial"/>
    </font>
    <font>
      <sz val="10"/>
      <name val="Times New Roman"/>
    </font>
    <font>
      <sz val="12"/>
      <color indexed="17"/>
      <name val="Arial"/>
    </font>
    <font>
      <sz val="16"/>
      <color indexed="10"/>
      <name val="Arial"/>
    </font>
    <font>
      <u/>
      <sz val="10"/>
      <name val="Verdana"/>
    </font>
    <font>
      <i/>
      <sz val="12"/>
      <color indexed="8"/>
      <name val="Arial"/>
    </font>
    <font>
      <b/>
      <u/>
      <sz val="12"/>
      <color indexed="8"/>
      <name val="Arial"/>
    </font>
    <font>
      <b/>
      <i/>
      <sz val="12"/>
      <color indexed="8"/>
      <name val="Arial"/>
    </font>
    <font>
      <sz val="12"/>
      <name val="Times New Roman"/>
    </font>
    <font>
      <i/>
      <sz val="12"/>
      <name val="Times New Roman"/>
    </font>
    <font>
      <sz val="8"/>
      <name val="Times New Roman"/>
    </font>
    <font>
      <b/>
      <sz val="12"/>
      <color indexed="14"/>
      <name val="Arial"/>
    </font>
    <font>
      <sz val="16"/>
      <color indexed="14"/>
      <name val="Arial"/>
    </font>
    <font>
      <sz val="14"/>
      <name val="Arial"/>
    </font>
    <font>
      <b/>
      <sz val="14"/>
      <color indexed="10"/>
      <name val="Arial"/>
    </font>
    <font>
      <b/>
      <sz val="14"/>
      <name val="Arial"/>
    </font>
    <font>
      <u/>
      <sz val="10"/>
      <color theme="10"/>
      <name val="Verdana"/>
    </font>
    <font>
      <u/>
      <sz val="10"/>
      <color theme="11"/>
      <name val="Verdana"/>
    </font>
    <font>
      <sz val="12"/>
      <color rgb="FFFF0000"/>
      <name val="Arial"/>
    </font>
    <font>
      <sz val="16"/>
      <name val="Arial"/>
    </font>
    <font>
      <u/>
      <sz val="16"/>
      <name val="Arial"/>
    </font>
    <font>
      <sz val="16"/>
      <color rgb="FFFF0000"/>
      <name val="Arial"/>
    </font>
    <font>
      <sz val="12"/>
      <color theme="1"/>
      <name val="Arial"/>
    </font>
  </fonts>
  <fills count="13">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58"/>
        <bgColor indexed="64"/>
      </patternFill>
    </fill>
    <fill>
      <patternFill patternType="solid">
        <fgColor indexed="45"/>
        <bgColor indexed="64"/>
      </patternFill>
    </fill>
    <fill>
      <patternFill patternType="solid">
        <fgColor rgb="FFFFCBE7"/>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7">
    <xf numFmtId="0" fontId="0" fillId="0" borderId="0"/>
    <xf numFmtId="0" fontId="11" fillId="0" borderId="0"/>
    <xf numFmtId="166" fontId="9"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320">
    <xf numFmtId="0" fontId="0" fillId="0" borderId="0" xfId="0"/>
    <xf numFmtId="0" fontId="2" fillId="0" borderId="0" xfId="0" applyFont="1" applyAlignment="1"/>
    <xf numFmtId="0" fontId="2" fillId="0" borderId="0" xfId="0" applyFont="1" applyFill="1" applyAlignment="1"/>
    <xf numFmtId="0" fontId="3" fillId="0" borderId="0" xfId="0" applyFont="1" applyAlignment="1"/>
    <xf numFmtId="0" fontId="3" fillId="0" borderId="0" xfId="0" applyFont="1"/>
    <xf numFmtId="0" fontId="3" fillId="0" borderId="0" xfId="0" applyFont="1" applyFill="1" applyAlignment="1"/>
    <xf numFmtId="0" fontId="3" fillId="2" borderId="0" xfId="0" applyFont="1" applyFill="1" applyAlignment="1">
      <alignment horizontal="right"/>
    </xf>
    <xf numFmtId="0" fontId="3" fillId="3" borderId="2" xfId="0" applyNumberFormat="1" applyFont="1" applyFill="1" applyBorder="1" applyAlignment="1" applyProtection="1"/>
    <xf numFmtId="0" fontId="3" fillId="3" borderId="3" xfId="0" applyNumberFormat="1" applyFont="1" applyFill="1" applyBorder="1" applyAlignment="1" applyProtection="1">
      <alignment horizontal="center"/>
    </xf>
    <xf numFmtId="0" fontId="3" fillId="0" borderId="0" xfId="0" applyFont="1" applyAlignment="1">
      <alignment horizontal="right"/>
    </xf>
    <xf numFmtId="0" fontId="3" fillId="2"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right"/>
    </xf>
    <xf numFmtId="1" fontId="3" fillId="0" borderId="0" xfId="0" applyNumberFormat="1" applyFont="1" applyAlignment="1">
      <alignment horizontal="right"/>
    </xf>
    <xf numFmtId="1" fontId="3" fillId="0" borderId="0" xfId="0" applyNumberFormat="1" applyFont="1" applyAlignment="1"/>
    <xf numFmtId="0" fontId="3" fillId="0" borderId="0" xfId="0" applyNumberFormat="1" applyFont="1" applyFill="1" applyBorder="1" applyAlignment="1" applyProtection="1"/>
    <xf numFmtId="0" fontId="4" fillId="0" borderId="0" xfId="0" applyNumberFormat="1" applyFont="1" applyFill="1" applyBorder="1" applyAlignment="1" applyProtection="1"/>
    <xf numFmtId="1" fontId="4" fillId="0" borderId="0" xfId="0" applyNumberFormat="1" applyFont="1" applyAlignment="1"/>
    <xf numFmtId="0" fontId="4" fillId="0" borderId="0" xfId="0" applyFont="1"/>
    <xf numFmtId="1" fontId="3" fillId="0" borderId="0" xfId="0" applyNumberFormat="1" applyFont="1" applyFill="1" applyBorder="1" applyAlignment="1" applyProtection="1"/>
    <xf numFmtId="1" fontId="3" fillId="0" borderId="0" xfId="0" applyNumberFormat="1" applyFont="1" applyFill="1" applyAlignment="1"/>
    <xf numFmtId="164" fontId="3" fillId="0" borderId="0" xfId="0" applyNumberFormat="1" applyFont="1" applyFill="1" applyAlignment="1"/>
    <xf numFmtId="3" fontId="3" fillId="0" borderId="0" xfId="0" applyNumberFormat="1" applyFont="1" applyAlignment="1"/>
    <xf numFmtId="3" fontId="3" fillId="0" borderId="0" xfId="0" applyNumberFormat="1" applyFont="1" applyFill="1" applyBorder="1" applyAlignment="1" applyProtection="1"/>
    <xf numFmtId="3" fontId="3" fillId="0" borderId="0" xfId="0" applyNumberFormat="1" applyFont="1" applyAlignment="1">
      <alignment horizontal="right"/>
    </xf>
    <xf numFmtId="0" fontId="6" fillId="4" borderId="0" xfId="0" applyFont="1" applyFill="1" applyAlignment="1"/>
    <xf numFmtId="0" fontId="3" fillId="4" borderId="0" xfId="0" applyFont="1" applyFill="1" applyAlignment="1"/>
    <xf numFmtId="0" fontId="3" fillId="4" borderId="0" xfId="0" applyNumberFormat="1" applyFont="1" applyFill="1" applyBorder="1" applyAlignment="1" applyProtection="1"/>
    <xf numFmtId="165" fontId="5" fillId="4" borderId="0" xfId="0" applyNumberFormat="1" applyFont="1" applyFill="1" applyAlignment="1"/>
    <xf numFmtId="1" fontId="3" fillId="0" borderId="0" xfId="0" applyNumberFormat="1" applyFont="1" applyAlignment="1"/>
    <xf numFmtId="0" fontId="3" fillId="0" borderId="0" xfId="0" applyNumberFormat="1" applyFont="1" applyFill="1" applyAlignment="1"/>
    <xf numFmtId="0" fontId="3" fillId="0" borderId="0" xfId="0" applyNumberFormat="1" applyFont="1" applyFill="1" applyAlignment="1">
      <alignment horizontal="right"/>
    </xf>
    <xf numFmtId="164" fontId="3" fillId="0" borderId="0" xfId="0" applyNumberFormat="1" applyFont="1"/>
    <xf numFmtId="164" fontId="3" fillId="0" borderId="0" xfId="0" applyNumberFormat="1" applyFont="1" applyFill="1" applyAlignment="1"/>
    <xf numFmtId="0" fontId="7" fillId="0" borderId="0" xfId="0" applyFont="1" applyAlignment="1">
      <alignment horizontal="right"/>
    </xf>
    <xf numFmtId="164" fontId="3" fillId="0" borderId="0" xfId="0" applyNumberFormat="1" applyFont="1"/>
    <xf numFmtId="164" fontId="3" fillId="0" borderId="0" xfId="0" applyNumberFormat="1" applyFont="1"/>
    <xf numFmtId="164" fontId="3" fillId="3" borderId="2" xfId="0" applyNumberFormat="1" applyFont="1" applyFill="1" applyBorder="1" applyAlignment="1" applyProtection="1"/>
    <xf numFmtId="164" fontId="3" fillId="0" borderId="0" xfId="0" applyNumberFormat="1" applyFont="1" applyFill="1" applyBorder="1" applyAlignment="1" applyProtection="1">
      <alignment horizontal="right"/>
    </xf>
    <xf numFmtId="164" fontId="4" fillId="0" borderId="0" xfId="0" applyNumberFormat="1" applyFont="1"/>
    <xf numFmtId="164" fontId="3" fillId="0" borderId="0" xfId="0" applyNumberFormat="1" applyFont="1" applyAlignment="1">
      <alignment horizontal="right"/>
    </xf>
    <xf numFmtId="164" fontId="3" fillId="4" borderId="0" xfId="0" applyNumberFormat="1" applyFont="1" applyFill="1" applyAlignment="1"/>
    <xf numFmtId="0" fontId="6" fillId="0" borderId="0" xfId="0" applyNumberFormat="1" applyFont="1" applyFill="1" applyBorder="1" applyAlignment="1" applyProtection="1"/>
    <xf numFmtId="165" fontId="5" fillId="4" borderId="0" xfId="0" applyNumberFormat="1" applyFont="1" applyFill="1"/>
    <xf numFmtId="0" fontId="3" fillId="0" borderId="0" xfId="0" applyNumberFormat="1" applyFont="1" applyFill="1" applyBorder="1" applyAlignment="1" applyProtection="1">
      <alignment horizontal="left"/>
    </xf>
    <xf numFmtId="0" fontId="3" fillId="0" borderId="1" xfId="0" applyFont="1" applyBorder="1" applyAlignment="1"/>
    <xf numFmtId="0" fontId="3" fillId="0" borderId="3" xfId="0" applyFont="1" applyBorder="1" applyAlignment="1"/>
    <xf numFmtId="2" fontId="3" fillId="0" borderId="0" xfId="0" applyNumberFormat="1" applyFont="1"/>
    <xf numFmtId="2" fontId="3" fillId="3" borderId="2" xfId="0" applyNumberFormat="1" applyFont="1" applyFill="1" applyBorder="1" applyAlignment="1" applyProtection="1"/>
    <xf numFmtId="2" fontId="3" fillId="0" borderId="0" xfId="0" applyNumberFormat="1" applyFont="1" applyFill="1" applyBorder="1" applyAlignment="1" applyProtection="1">
      <alignment horizontal="right"/>
    </xf>
    <xf numFmtId="2" fontId="4" fillId="0" borderId="0" xfId="0" applyNumberFormat="1" applyFont="1"/>
    <xf numFmtId="2" fontId="3" fillId="0" borderId="0" xfId="0" applyNumberFormat="1" applyFont="1" applyAlignment="1">
      <alignment horizontal="right"/>
    </xf>
    <xf numFmtId="2" fontId="5" fillId="4" borderId="0" xfId="0" applyNumberFormat="1" applyFont="1" applyFill="1" applyAlignment="1"/>
    <xf numFmtId="2" fontId="3" fillId="4" borderId="0" xfId="0" applyNumberFormat="1" applyFont="1" applyFill="1"/>
    <xf numFmtId="2" fontId="5" fillId="4" borderId="0" xfId="0" applyNumberFormat="1" applyFont="1" applyFill="1"/>
    <xf numFmtId="2" fontId="3" fillId="0" borderId="0" xfId="0" applyNumberFormat="1" applyFont="1" applyFill="1"/>
    <xf numFmtId="164" fontId="3" fillId="0" borderId="0" xfId="0" applyNumberFormat="1" applyFont="1" applyFill="1"/>
    <xf numFmtId="2" fontId="3" fillId="0" borderId="0" xfId="0" applyNumberFormat="1" applyFont="1"/>
    <xf numFmtId="2" fontId="3" fillId="0" borderId="0" xfId="0" applyNumberFormat="1" applyFont="1" applyAlignment="1">
      <alignment horizontal="right"/>
    </xf>
    <xf numFmtId="2" fontId="4" fillId="0" borderId="0" xfId="0" applyNumberFormat="1" applyFont="1"/>
    <xf numFmtId="2" fontId="10" fillId="0" borderId="0" xfId="0" applyNumberFormat="1" applyFont="1" applyAlignment="1">
      <alignment horizontal="right"/>
    </xf>
    <xf numFmtId="2" fontId="3" fillId="3" borderId="1" xfId="0" applyNumberFormat="1" applyFont="1" applyFill="1" applyBorder="1" applyAlignment="1" applyProtection="1"/>
    <xf numFmtId="2" fontId="3" fillId="0" borderId="0" xfId="0" applyNumberFormat="1" applyFont="1" applyFill="1" applyBorder="1" applyAlignment="1" applyProtection="1">
      <alignment horizontal="right"/>
    </xf>
    <xf numFmtId="2" fontId="3" fillId="4" borderId="0" xfId="0" applyNumberFormat="1" applyFont="1" applyFill="1" applyAlignment="1"/>
    <xf numFmtId="2" fontId="5" fillId="4" borderId="0" xfId="0" applyNumberFormat="1" applyFont="1" applyFill="1" applyAlignment="1"/>
    <xf numFmtId="2" fontId="3" fillId="0" borderId="0" xfId="0" applyNumberFormat="1" applyFont="1" applyAlignment="1"/>
    <xf numFmtId="2" fontId="3" fillId="0" borderId="0" xfId="0" applyNumberFormat="1" applyFont="1" applyFill="1" applyBorder="1" applyAlignment="1">
      <alignment horizontal="right"/>
    </xf>
    <xf numFmtId="2" fontId="3" fillId="4" borderId="0" xfId="0" applyNumberFormat="1" applyFont="1" applyFill="1" applyBorder="1" applyAlignment="1" applyProtection="1"/>
    <xf numFmtId="2" fontId="5" fillId="0" borderId="0" xfId="0" applyNumberFormat="1" applyFont="1"/>
    <xf numFmtId="0" fontId="3" fillId="0" borderId="0" xfId="0" applyFont="1" applyFill="1"/>
    <xf numFmtId="0" fontId="7" fillId="0" borderId="0" xfId="0" applyFont="1"/>
    <xf numFmtId="2" fontId="3" fillId="0" borderId="0" xfId="0" applyNumberFormat="1" applyFont="1"/>
    <xf numFmtId="165" fontId="3" fillId="0" borderId="0" xfId="0" applyNumberFormat="1" applyFont="1"/>
    <xf numFmtId="164" fontId="3" fillId="0" borderId="0" xfId="0" applyNumberFormat="1" applyFont="1"/>
    <xf numFmtId="2" fontId="3" fillId="0" borderId="5" xfId="0" applyNumberFormat="1" applyFont="1" applyFill="1" applyBorder="1"/>
    <xf numFmtId="0" fontId="3" fillId="0" borderId="5" xfId="0" applyFont="1" applyBorder="1"/>
    <xf numFmtId="164" fontId="3" fillId="0" borderId="0" xfId="0" applyNumberFormat="1" applyFont="1"/>
    <xf numFmtId="2" fontId="7" fillId="0" borderId="0" xfId="0" applyNumberFormat="1" applyFont="1"/>
    <xf numFmtId="2" fontId="4" fillId="0" borderId="0" xfId="0" applyNumberFormat="1" applyFont="1"/>
    <xf numFmtId="2" fontId="3" fillId="0" borderId="0" xfId="0" applyNumberFormat="1" applyFont="1"/>
    <xf numFmtId="2" fontId="10" fillId="0" borderId="0" xfId="0" applyNumberFormat="1" applyFont="1"/>
    <xf numFmtId="2" fontId="7" fillId="0" borderId="0" xfId="0" applyNumberFormat="1" applyFont="1"/>
    <xf numFmtId="2" fontId="4" fillId="0" borderId="0" xfId="0" applyNumberFormat="1" applyFont="1" applyFill="1"/>
    <xf numFmtId="0" fontId="3" fillId="6" borderId="0" xfId="0" applyNumberFormat="1" applyFont="1" applyFill="1" applyBorder="1" applyAlignment="1" applyProtection="1"/>
    <xf numFmtId="0" fontId="3" fillId="0" borderId="5" xfId="0" applyNumberFormat="1" applyFont="1" applyFill="1" applyBorder="1" applyAlignment="1" applyProtection="1"/>
    <xf numFmtId="1" fontId="3" fillId="6" borderId="0" xfId="0" applyNumberFormat="1" applyFont="1" applyFill="1" applyAlignment="1"/>
    <xf numFmtId="0" fontId="3" fillId="5" borderId="0" xfId="0" applyNumberFormat="1" applyFont="1" applyFill="1" applyBorder="1" applyAlignment="1" applyProtection="1"/>
    <xf numFmtId="3" fontId="3" fillId="0" borderId="0" xfId="0" applyNumberFormat="1" applyFont="1" applyAlignment="1">
      <alignment horizontal="right"/>
    </xf>
    <xf numFmtId="164" fontId="3" fillId="0" borderId="0" xfId="0" applyNumberFormat="1" applyFont="1"/>
    <xf numFmtId="164" fontId="4" fillId="0" borderId="0" xfId="0" applyNumberFormat="1" applyFont="1"/>
    <xf numFmtId="165" fontId="3" fillId="0" borderId="6" xfId="0" applyNumberFormat="1" applyFont="1" applyBorder="1"/>
    <xf numFmtId="165" fontId="3" fillId="0" borderId="6" xfId="0" applyNumberFormat="1" applyFont="1" applyBorder="1"/>
    <xf numFmtId="3" fontId="3" fillId="0" borderId="0" xfId="0" applyNumberFormat="1" applyFont="1"/>
    <xf numFmtId="3" fontId="3" fillId="0" borderId="0" xfId="0" applyNumberFormat="1" applyFont="1" applyAlignment="1">
      <alignment horizontal="right"/>
    </xf>
    <xf numFmtId="167" fontId="3" fillId="0" borderId="0" xfId="0" applyNumberFormat="1" applyFont="1"/>
    <xf numFmtId="167" fontId="3" fillId="0" borderId="0" xfId="0" applyNumberFormat="1" applyFont="1"/>
    <xf numFmtId="3" fontId="3" fillId="0" borderId="0" xfId="0" applyNumberFormat="1" applyFont="1"/>
    <xf numFmtId="3" fontId="3" fillId="0" borderId="0" xfId="0" applyNumberFormat="1" applyFont="1" applyAlignment="1">
      <alignment horizontal="right"/>
    </xf>
    <xf numFmtId="167" fontId="3" fillId="0" borderId="0" xfId="0" applyNumberFormat="1" applyFont="1" applyFill="1" applyBorder="1" applyAlignment="1">
      <alignment horizontal="right"/>
    </xf>
    <xf numFmtId="165" fontId="3" fillId="0" borderId="6" xfId="0" applyNumberFormat="1" applyFont="1" applyBorder="1"/>
    <xf numFmtId="4" fontId="3" fillId="0" borderId="0" xfId="0" applyNumberFormat="1" applyFont="1"/>
    <xf numFmtId="164" fontId="3" fillId="0" borderId="0" xfId="0" applyNumberFormat="1" applyFont="1"/>
    <xf numFmtId="4" fontId="3" fillId="0" borderId="0" xfId="0" applyNumberFormat="1" applyFont="1"/>
    <xf numFmtId="165" fontId="3" fillId="0" borderId="6" xfId="0" applyNumberFormat="1" applyFont="1" applyBorder="1"/>
    <xf numFmtId="0" fontId="13" fillId="0" borderId="0" xfId="0" applyFont="1"/>
    <xf numFmtId="0" fontId="3" fillId="7" borderId="0" xfId="0" applyFont="1" applyFill="1"/>
    <xf numFmtId="0" fontId="12" fillId="7" borderId="0" xfId="0" applyFont="1" applyFill="1"/>
    <xf numFmtId="0" fontId="3" fillId="0" borderId="0" xfId="0" applyFont="1" applyBorder="1" applyAlignment="1"/>
    <xf numFmtId="0" fontId="3" fillId="0" borderId="5" xfId="0" applyFont="1" applyFill="1" applyBorder="1" applyAlignment="1"/>
    <xf numFmtId="1" fontId="3" fillId="0" borderId="5" xfId="0" applyNumberFormat="1" applyFont="1" applyFill="1" applyBorder="1" applyAlignment="1"/>
    <xf numFmtId="0" fontId="3" fillId="0" borderId="5" xfId="0" applyFont="1" applyBorder="1" applyAlignment="1"/>
    <xf numFmtId="0" fontId="0" fillId="0" borderId="0" xfId="0" applyAlignment="1"/>
    <xf numFmtId="2" fontId="3" fillId="3" borderId="2" xfId="0" applyNumberFormat="1" applyFont="1" applyFill="1" applyBorder="1" applyAlignment="1"/>
    <xf numFmtId="2" fontId="3" fillId="3" borderId="4" xfId="0" applyNumberFormat="1" applyFont="1" applyFill="1" applyBorder="1" applyAlignment="1"/>
    <xf numFmtId="0" fontId="4" fillId="0" borderId="0" xfId="0" applyFont="1" applyAlignment="1"/>
    <xf numFmtId="0" fontId="14" fillId="0" borderId="0" xfId="0" applyFont="1" applyAlignment="1"/>
    <xf numFmtId="2" fontId="0" fillId="0" borderId="0" xfId="0" applyNumberFormat="1" applyAlignment="1"/>
    <xf numFmtId="2" fontId="3" fillId="0" borderId="0" xfId="0" applyNumberFormat="1" applyFont="1" applyAlignment="1"/>
    <xf numFmtId="2" fontId="3" fillId="3" borderId="1" xfId="0" applyNumberFormat="1" applyFont="1" applyFill="1" applyBorder="1" applyAlignment="1"/>
    <xf numFmtId="2" fontId="3" fillId="0" borderId="0" xfId="0" applyNumberFormat="1" applyFont="1" applyFill="1" applyBorder="1" applyAlignment="1" applyProtection="1">
      <alignment horizontal="right"/>
    </xf>
    <xf numFmtId="2" fontId="4" fillId="0" borderId="0" xfId="0" applyNumberFormat="1" applyFont="1" applyAlignment="1"/>
    <xf numFmtId="2" fontId="10" fillId="0" borderId="0" xfId="0" applyNumberFormat="1" applyFont="1" applyAlignment="1">
      <alignment horizontal="right"/>
    </xf>
    <xf numFmtId="2" fontId="3" fillId="0" borderId="0" xfId="0" applyNumberFormat="1" applyFont="1" applyAlignment="1">
      <alignment horizontal="right"/>
    </xf>
    <xf numFmtId="2" fontId="3" fillId="0" borderId="0" xfId="0" applyNumberFormat="1" applyFont="1" applyFill="1" applyBorder="1" applyAlignment="1">
      <alignment horizontal="right"/>
    </xf>
    <xf numFmtId="2" fontId="6" fillId="4" borderId="0" xfId="0" applyNumberFormat="1" applyFont="1" applyFill="1" applyAlignment="1"/>
    <xf numFmtId="2" fontId="3" fillId="0" borderId="0" xfId="0" applyNumberFormat="1" applyFont="1" applyFill="1" applyAlignment="1"/>
    <xf numFmtId="0" fontId="10" fillId="0" borderId="0" xfId="0" applyFont="1"/>
    <xf numFmtId="0" fontId="4" fillId="2" borderId="0" xfId="0" applyFont="1" applyFill="1"/>
    <xf numFmtId="0" fontId="4" fillId="2" borderId="0" xfId="0" applyFont="1" applyFill="1" applyAlignment="1">
      <alignment horizontal="left" vertical="center"/>
    </xf>
    <xf numFmtId="0" fontId="16" fillId="2" borderId="0" xfId="1" applyFont="1" applyFill="1"/>
    <xf numFmtId="0" fontId="4" fillId="2" borderId="0" xfId="1" applyFont="1" applyFill="1"/>
    <xf numFmtId="0" fontId="17" fillId="2" borderId="0" xfId="1" applyFont="1" applyFill="1"/>
    <xf numFmtId="166" fontId="4" fillId="2" borderId="0" xfId="2" applyFont="1" applyFill="1" applyAlignment="1"/>
    <xf numFmtId="166" fontId="4" fillId="2" borderId="0" xfId="2" applyFont="1" applyFill="1" applyAlignment="1">
      <alignment horizontal="left"/>
    </xf>
    <xf numFmtId="0" fontId="4" fillId="2" borderId="0" xfId="0" applyFont="1" applyFill="1" applyAlignment="1">
      <alignment vertical="center"/>
    </xf>
    <xf numFmtId="0" fontId="17" fillId="2" borderId="0" xfId="0" applyFont="1" applyFill="1"/>
    <xf numFmtId="166" fontId="4" fillId="2" borderId="0" xfId="2" applyFont="1" applyFill="1" applyAlignment="1">
      <alignment horizontal="left" indent="2"/>
    </xf>
    <xf numFmtId="0" fontId="16" fillId="2" borderId="0" xfId="0" applyFont="1" applyFill="1"/>
    <xf numFmtId="0" fontId="18" fillId="0" borderId="0" xfId="0" applyFont="1"/>
    <xf numFmtId="0" fontId="3" fillId="2" borderId="0" xfId="0" applyFont="1" applyFill="1"/>
    <xf numFmtId="168" fontId="3" fillId="0" borderId="0" xfId="0" applyNumberFormat="1" applyFont="1" applyAlignment="1"/>
    <xf numFmtId="169" fontId="3" fillId="0" borderId="0" xfId="0" applyNumberFormat="1" applyFont="1" applyAlignment="1"/>
    <xf numFmtId="169" fontId="0" fillId="0" borderId="0" xfId="0" applyNumberFormat="1" applyAlignment="1"/>
    <xf numFmtId="169" fontId="3" fillId="3" borderId="2" xfId="0" applyNumberFormat="1" applyFont="1" applyFill="1" applyBorder="1" applyAlignment="1"/>
    <xf numFmtId="169" fontId="3" fillId="0" borderId="0" xfId="0" applyNumberFormat="1" applyFont="1" applyFill="1" applyBorder="1" applyAlignment="1" applyProtection="1">
      <alignment horizontal="right"/>
    </xf>
    <xf numFmtId="169" fontId="4" fillId="0" borderId="0" xfId="0" applyNumberFormat="1" applyFont="1" applyAlignment="1"/>
    <xf numFmtId="169" fontId="3" fillId="0" borderId="0" xfId="0" applyNumberFormat="1" applyFont="1" applyFill="1" applyAlignment="1"/>
    <xf numFmtId="169" fontId="10" fillId="0" borderId="0" xfId="0" applyNumberFormat="1" applyFont="1" applyAlignment="1">
      <alignment horizontal="right"/>
    </xf>
    <xf numFmtId="169" fontId="6" fillId="4" borderId="0" xfId="0" applyNumberFormat="1" applyFont="1" applyFill="1" applyAlignment="1"/>
    <xf numFmtId="169" fontId="8" fillId="0" borderId="0" xfId="0" applyNumberFormat="1" applyFont="1" applyAlignment="1"/>
    <xf numFmtId="169" fontId="3" fillId="3" borderId="1" xfId="0" applyNumberFormat="1" applyFont="1" applyFill="1" applyBorder="1" applyAlignment="1"/>
    <xf numFmtId="169" fontId="3" fillId="0" borderId="0" xfId="0" applyNumberFormat="1" applyFont="1" applyFill="1" applyBorder="1" applyAlignment="1" applyProtection="1">
      <alignment horizontal="right"/>
    </xf>
    <xf numFmtId="169" fontId="10" fillId="0" borderId="0" xfId="0" applyNumberFormat="1" applyFont="1" applyAlignment="1">
      <alignment horizontal="right"/>
    </xf>
    <xf numFmtId="169" fontId="3" fillId="0" borderId="0" xfId="0" applyNumberFormat="1" applyFont="1" applyAlignment="1"/>
    <xf numFmtId="169" fontId="3" fillId="0" borderId="0" xfId="0" applyNumberFormat="1" applyFont="1" applyAlignment="1">
      <alignment horizontal="right"/>
    </xf>
    <xf numFmtId="169" fontId="3" fillId="0" borderId="0" xfId="0" applyNumberFormat="1" applyFont="1" applyFill="1" applyBorder="1" applyAlignment="1">
      <alignment horizontal="right"/>
    </xf>
    <xf numFmtId="169" fontId="3" fillId="4" borderId="0" xfId="0" applyNumberFormat="1" applyFont="1" applyFill="1" applyBorder="1" applyAlignment="1" applyProtection="1"/>
    <xf numFmtId="169" fontId="3" fillId="0" borderId="0" xfId="0" applyNumberFormat="1" applyFont="1" applyAlignment="1"/>
    <xf numFmtId="168" fontId="4" fillId="0" borderId="0" xfId="0" applyNumberFormat="1" applyFont="1" applyAlignment="1"/>
    <xf numFmtId="169" fontId="3" fillId="0" borderId="0" xfId="0" applyNumberFormat="1" applyFont="1" applyAlignment="1"/>
    <xf numFmtId="169" fontId="3" fillId="0" borderId="0" xfId="0" applyNumberFormat="1" applyFont="1" applyAlignment="1"/>
    <xf numFmtId="169" fontId="8" fillId="0" borderId="0" xfId="0" applyNumberFormat="1" applyFont="1" applyAlignment="1"/>
    <xf numFmtId="0" fontId="21" fillId="0" borderId="0" xfId="0" applyFont="1" applyAlignment="1"/>
    <xf numFmtId="0" fontId="21" fillId="0" borderId="0" xfId="0" applyNumberFormat="1" applyFont="1" applyFill="1" applyBorder="1" applyAlignment="1" applyProtection="1"/>
    <xf numFmtId="0" fontId="22" fillId="0" borderId="0" xfId="0" applyFont="1" applyAlignment="1"/>
    <xf numFmtId="0" fontId="5" fillId="0" borderId="0" xfId="0" applyFont="1" applyFill="1" applyAlignment="1"/>
    <xf numFmtId="169" fontId="4" fillId="0" borderId="0" xfId="0" applyNumberFormat="1" applyFont="1" applyAlignment="1"/>
    <xf numFmtId="169" fontId="3" fillId="0" borderId="0" xfId="0" applyNumberFormat="1" applyFont="1" applyAlignment="1"/>
    <xf numFmtId="165" fontId="0" fillId="0" borderId="0" xfId="0" applyNumberFormat="1" applyAlignment="1"/>
    <xf numFmtId="169" fontId="3" fillId="0" borderId="0" xfId="0" applyNumberFormat="1" applyFont="1" applyFill="1" applyAlignment="1"/>
    <xf numFmtId="169" fontId="3" fillId="0" borderId="0" xfId="0" applyNumberFormat="1" applyFont="1" applyAlignment="1"/>
    <xf numFmtId="169" fontId="3" fillId="0" borderId="0" xfId="0" applyNumberFormat="1" applyFont="1" applyAlignment="1"/>
    <xf numFmtId="169" fontId="3" fillId="0" borderId="0" xfId="0" applyNumberFormat="1" applyFont="1" applyAlignment="1"/>
    <xf numFmtId="169" fontId="3" fillId="0" borderId="0" xfId="0" applyNumberFormat="1" applyFont="1" applyFill="1" applyAlignment="1"/>
    <xf numFmtId="169" fontId="3" fillId="0" borderId="0" xfId="0" applyNumberFormat="1" applyFont="1" applyAlignment="1"/>
    <xf numFmtId="165" fontId="3" fillId="0" borderId="0" xfId="0" applyNumberFormat="1" applyFont="1" applyAlignment="1"/>
    <xf numFmtId="165" fontId="3" fillId="0" borderId="0" xfId="0" applyNumberFormat="1" applyFont="1" applyAlignment="1"/>
    <xf numFmtId="165" fontId="5" fillId="0" borderId="0" xfId="0" applyNumberFormat="1" applyFont="1" applyAlignment="1"/>
    <xf numFmtId="164"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xf numFmtId="3" fontId="0" fillId="0" borderId="0" xfId="0" applyNumberFormat="1" applyAlignment="1"/>
    <xf numFmtId="3" fontId="3" fillId="0" borderId="0" xfId="0" applyNumberFormat="1" applyFont="1" applyAlignment="1"/>
    <xf numFmtId="3" fontId="3" fillId="0" borderId="0" xfId="0" applyNumberFormat="1" applyFont="1" applyAlignment="1">
      <alignment horizontal="right"/>
    </xf>
    <xf numFmtId="165" fontId="3" fillId="0" borderId="6" xfId="0" applyNumberFormat="1" applyFont="1" applyFill="1" applyBorder="1" applyAlignment="1">
      <alignment horizontal="right"/>
    </xf>
    <xf numFmtId="167" fontId="3" fillId="0" borderId="0" xfId="0" applyNumberFormat="1" applyFont="1" applyAlignment="1">
      <alignment horizontal="right"/>
    </xf>
    <xf numFmtId="167" fontId="3" fillId="0" borderId="0" xfId="0" applyNumberFormat="1" applyFont="1" applyAlignment="1"/>
    <xf numFmtId="2" fontId="3" fillId="0" borderId="0" xfId="0" applyNumberFormat="1" applyFont="1" applyAlignment="1"/>
    <xf numFmtId="2" fontId="3" fillId="0" borderId="0" xfId="0" applyNumberFormat="1" applyFont="1" applyFill="1" applyBorder="1" applyAlignment="1">
      <alignment horizontal="right"/>
    </xf>
    <xf numFmtId="165" fontId="3" fillId="0" borderId="6" xfId="0" applyNumberFormat="1" applyFont="1" applyBorder="1" applyAlignment="1"/>
    <xf numFmtId="167" fontId="3" fillId="0" borderId="0" xfId="0" applyNumberFormat="1" applyFont="1" applyAlignment="1"/>
    <xf numFmtId="164" fontId="3" fillId="0" borderId="0" xfId="0" applyNumberFormat="1" applyFont="1" applyAlignment="1"/>
    <xf numFmtId="166" fontId="5" fillId="0" borderId="0" xfId="0" applyNumberFormat="1" applyFont="1" applyAlignment="1"/>
    <xf numFmtId="166" fontId="5" fillId="0" borderId="0" xfId="0" applyNumberFormat="1" applyFont="1"/>
    <xf numFmtId="166" fontId="5" fillId="0" borderId="0" xfId="0" applyNumberFormat="1" applyFont="1"/>
    <xf numFmtId="164" fontId="3" fillId="0" borderId="0" xfId="0" applyNumberFormat="1" applyFont="1"/>
    <xf numFmtId="164" fontId="3" fillId="0" borderId="0" xfId="0" applyNumberFormat="1" applyFont="1"/>
    <xf numFmtId="169" fontId="3" fillId="0" borderId="0" xfId="0" applyNumberFormat="1" applyFont="1" applyFill="1" applyAlignment="1"/>
    <xf numFmtId="165" fontId="3" fillId="0" borderId="0" xfId="0" applyNumberFormat="1" applyFont="1" applyFill="1" applyAlignment="1"/>
    <xf numFmtId="165" fontId="3" fillId="0" borderId="6" xfId="0" applyNumberFormat="1" applyFont="1" applyFill="1" applyBorder="1" applyAlignment="1"/>
    <xf numFmtId="165" fontId="3" fillId="0" borderId="6" xfId="0" applyNumberFormat="1" applyFont="1" applyFill="1" applyBorder="1" applyAlignment="1"/>
    <xf numFmtId="0" fontId="3" fillId="0" borderId="1" xfId="0" applyFont="1" applyBorder="1"/>
    <xf numFmtId="0" fontId="3" fillId="0" borderId="2" xfId="0" applyFont="1" applyBorder="1"/>
    <xf numFmtId="0" fontId="3" fillId="0" borderId="3" xfId="0" applyFont="1" applyBorder="1"/>
    <xf numFmtId="164" fontId="3" fillId="5" borderId="0" xfId="0" applyNumberFormat="1" applyFont="1" applyFill="1"/>
    <xf numFmtId="0" fontId="3" fillId="5" borderId="0" xfId="0" applyFont="1" applyFill="1"/>
    <xf numFmtId="164" fontId="3" fillId="6" borderId="0" xfId="0" applyNumberFormat="1" applyFont="1" applyFill="1"/>
    <xf numFmtId="0" fontId="3" fillId="6" borderId="0" xfId="0" applyFont="1" applyFill="1"/>
    <xf numFmtId="164" fontId="3" fillId="0" borderId="0" xfId="0" applyNumberFormat="1" applyFont="1" applyAlignment="1">
      <alignment horizontal="center"/>
    </xf>
    <xf numFmtId="165" fontId="3" fillId="0" borderId="0" xfId="0" applyNumberFormat="1" applyFont="1" applyAlignment="1">
      <alignment horizontal="center"/>
    </xf>
    <xf numFmtId="167"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lignment horizontal="center"/>
    </xf>
    <xf numFmtId="164" fontId="8" fillId="0" borderId="0" xfId="0" applyNumberFormat="1" applyFont="1" applyAlignment="1">
      <alignment horizontal="center"/>
    </xf>
    <xf numFmtId="167" fontId="8" fillId="0" borderId="0" xfId="0" applyNumberFormat="1" applyFont="1" applyAlignment="1">
      <alignment horizontal="center"/>
    </xf>
    <xf numFmtId="166" fontId="3" fillId="0" borderId="0" xfId="0" applyNumberFormat="1" applyFont="1" applyAlignment="1">
      <alignment horizontal="center"/>
    </xf>
    <xf numFmtId="1" fontId="3" fillId="0" borderId="0" xfId="0" applyNumberFormat="1" applyFont="1" applyAlignment="1">
      <alignment horizontal="center"/>
    </xf>
    <xf numFmtId="164" fontId="3" fillId="0" borderId="0" xfId="0" applyNumberFormat="1" applyFont="1" applyFill="1" applyAlignment="1">
      <alignment horizontal="center"/>
    </xf>
    <xf numFmtId="165" fontId="3" fillId="0" borderId="0" xfId="0" applyNumberFormat="1" applyFont="1" applyAlignment="1">
      <alignment horizontal="center"/>
    </xf>
    <xf numFmtId="164" fontId="3" fillId="0" borderId="0" xfId="0" applyNumberFormat="1" applyFont="1" applyAlignment="1">
      <alignment horizontal="center"/>
    </xf>
    <xf numFmtId="165" fontId="3" fillId="0" borderId="0" xfId="0" applyNumberFormat="1" applyFont="1" applyAlignment="1">
      <alignment horizontal="center"/>
    </xf>
    <xf numFmtId="165" fontId="3" fillId="0" borderId="0" xfId="0" applyNumberFormat="1" applyFont="1" applyAlignment="1">
      <alignment horizontal="center"/>
    </xf>
    <xf numFmtId="165" fontId="3" fillId="0" borderId="0" xfId="0" applyNumberFormat="1" applyFont="1" applyAlignment="1">
      <alignment horizontal="center"/>
    </xf>
    <xf numFmtId="167" fontId="3" fillId="0" borderId="0" xfId="0" applyNumberFormat="1"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165" fontId="3" fillId="0" borderId="0" xfId="0" applyNumberFormat="1"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0" fontId="8" fillId="0" borderId="0" xfId="0" applyFont="1"/>
    <xf numFmtId="164" fontId="3" fillId="0" borderId="0" xfId="0" applyNumberFormat="1" applyFont="1" applyAlignment="1">
      <alignment horizontal="center"/>
    </xf>
    <xf numFmtId="164" fontId="3" fillId="0" borderId="0" xfId="0" applyNumberFormat="1" applyFont="1" applyAlignment="1">
      <alignment horizontal="center"/>
    </xf>
    <xf numFmtId="164" fontId="3" fillId="0" borderId="0" xfId="0" applyNumberFormat="1" applyFont="1" applyAlignment="1">
      <alignment horizontal="center"/>
    </xf>
    <xf numFmtId="164" fontId="23" fillId="5" borderId="0" xfId="0" applyNumberFormat="1" applyFont="1" applyFill="1"/>
    <xf numFmtId="164" fontId="23" fillId="6" borderId="0" xfId="0" applyNumberFormat="1" applyFont="1" applyFill="1"/>
    <xf numFmtId="164" fontId="23" fillId="8" borderId="0" xfId="0" applyNumberFormat="1" applyFont="1" applyFill="1"/>
    <xf numFmtId="164" fontId="3" fillId="8" borderId="0" xfId="0" applyNumberFormat="1" applyFont="1" applyFill="1"/>
    <xf numFmtId="0" fontId="3" fillId="8" borderId="0" xfId="0" applyFont="1" applyFill="1"/>
    <xf numFmtId="164" fontId="23" fillId="0" borderId="0" xfId="0" applyNumberFormat="1" applyFont="1" applyFill="1"/>
    <xf numFmtId="164" fontId="3" fillId="0" borderId="0" xfId="0" applyNumberFormat="1" applyFont="1" applyAlignment="1">
      <alignment horizontal="center"/>
    </xf>
    <xf numFmtId="164" fontId="3" fillId="0" borderId="0" xfId="0" applyNumberFormat="1" applyFont="1"/>
    <xf numFmtId="0" fontId="3" fillId="6" borderId="0" xfId="0" applyFont="1" applyFill="1" applyAlignment="1"/>
    <xf numFmtId="3" fontId="3" fillId="0" borderId="0" xfId="0" applyNumberFormat="1" applyFont="1" applyAlignment="1"/>
    <xf numFmtId="2" fontId="3" fillId="0" borderId="0" xfId="0" applyNumberFormat="1" applyFont="1"/>
    <xf numFmtId="2" fontId="3" fillId="0" borderId="0" xfId="0" applyNumberFormat="1" applyFont="1"/>
    <xf numFmtId="165" fontId="3" fillId="3" borderId="1" xfId="0" applyNumberFormat="1" applyFont="1" applyFill="1" applyBorder="1" applyAlignment="1" applyProtection="1"/>
    <xf numFmtId="165" fontId="3" fillId="0" borderId="0" xfId="0" applyNumberFormat="1" applyFont="1" applyFill="1" applyBorder="1" applyAlignment="1" applyProtection="1">
      <alignment horizontal="right"/>
    </xf>
    <xf numFmtId="165" fontId="10" fillId="0" borderId="0" xfId="0" applyNumberFormat="1" applyFont="1" applyAlignment="1">
      <alignment horizontal="right"/>
    </xf>
    <xf numFmtId="165" fontId="3" fillId="0" borderId="0" xfId="0" applyNumberFormat="1" applyFont="1"/>
    <xf numFmtId="165" fontId="3" fillId="0" borderId="0" xfId="0" applyNumberFormat="1" applyFont="1" applyAlignment="1"/>
    <xf numFmtId="165" fontId="3" fillId="0" borderId="0" xfId="0" applyNumberFormat="1" applyFont="1" applyAlignment="1">
      <alignment horizontal="right"/>
    </xf>
    <xf numFmtId="165" fontId="3" fillId="0" borderId="0" xfId="0" applyNumberFormat="1" applyFont="1" applyFill="1" applyBorder="1" applyAlignment="1">
      <alignment horizontal="right"/>
    </xf>
    <xf numFmtId="165" fontId="3" fillId="4" borderId="0" xfId="0" applyNumberFormat="1" applyFont="1" applyFill="1" applyBorder="1" applyAlignment="1" applyProtection="1"/>
    <xf numFmtId="165" fontId="4" fillId="0" borderId="0" xfId="0" applyNumberFormat="1" applyFont="1"/>
    <xf numFmtId="165" fontId="3" fillId="0" borderId="0" xfId="0" applyNumberFormat="1" applyFont="1"/>
    <xf numFmtId="2" fontId="3" fillId="0" borderId="0" xfId="0" applyNumberFormat="1" applyFont="1"/>
    <xf numFmtId="165" fontId="3" fillId="0" borderId="5" xfId="0" applyNumberFormat="1" applyFont="1" applyBorder="1"/>
    <xf numFmtId="165" fontId="3" fillId="0" borderId="0" xfId="0" applyNumberFormat="1" applyFont="1"/>
    <xf numFmtId="165" fontId="3" fillId="0" borderId="0" xfId="0" applyNumberFormat="1" applyFont="1"/>
    <xf numFmtId="165" fontId="3" fillId="0" borderId="0" xfId="0" applyNumberFormat="1" applyFont="1" applyAlignment="1">
      <alignment horizontal="center"/>
    </xf>
    <xf numFmtId="2" fontId="5" fillId="0" borderId="0" xfId="0" applyNumberFormat="1" applyFont="1" applyFill="1" applyAlignment="1"/>
    <xf numFmtId="165" fontId="5" fillId="0" borderId="0" xfId="0" applyNumberFormat="1" applyFont="1" applyFill="1" applyAlignment="1"/>
    <xf numFmtId="2" fontId="5" fillId="0" borderId="0" xfId="0" applyNumberFormat="1" applyFont="1" applyFill="1"/>
    <xf numFmtId="165" fontId="3" fillId="0" borderId="0" xfId="0" applyNumberFormat="1" applyFont="1"/>
    <xf numFmtId="165" fontId="3" fillId="0" borderId="0" xfId="0" applyNumberFormat="1" applyFont="1"/>
    <xf numFmtId="165" fontId="3" fillId="0" borderId="0" xfId="0" applyNumberFormat="1" applyFont="1"/>
    <xf numFmtId="165" fontId="3" fillId="0" borderId="0" xfId="0" applyNumberFormat="1" applyFont="1"/>
    <xf numFmtId="164" fontId="3" fillId="0" borderId="0" xfId="0" applyNumberFormat="1" applyFont="1"/>
    <xf numFmtId="165" fontId="3" fillId="0" borderId="0" xfId="0" applyNumberFormat="1" applyFont="1"/>
    <xf numFmtId="165" fontId="3" fillId="0" borderId="0" xfId="0" applyNumberFormat="1" applyFont="1"/>
    <xf numFmtId="165" fontId="5" fillId="0" borderId="0" xfId="0" applyNumberFormat="1" applyFont="1"/>
    <xf numFmtId="165" fontId="3" fillId="0" borderId="0" xfId="0" applyNumberFormat="1" applyFont="1"/>
    <xf numFmtId="165" fontId="3" fillId="0" borderId="0" xfId="0" applyNumberFormat="1" applyFont="1"/>
    <xf numFmtId="164" fontId="3" fillId="0" borderId="0" xfId="0" applyNumberFormat="1" applyFont="1"/>
    <xf numFmtId="164" fontId="3" fillId="0" borderId="0" xfId="0" applyNumberFormat="1" applyFont="1"/>
    <xf numFmtId="165" fontId="5" fillId="0" borderId="0" xfId="0" applyNumberFormat="1" applyFont="1"/>
    <xf numFmtId="165" fontId="3" fillId="0" borderId="6" xfId="0" applyNumberFormat="1" applyFont="1" applyBorder="1"/>
    <xf numFmtId="165" fontId="3" fillId="0" borderId="0" xfId="0" applyNumberFormat="1" applyFont="1" applyAlignment="1">
      <alignment horizontal="center"/>
    </xf>
    <xf numFmtId="165" fontId="3" fillId="0" borderId="0" xfId="0" applyNumberFormat="1" applyFont="1" applyAlignment="1">
      <alignment horizontal="center"/>
    </xf>
    <xf numFmtId="164" fontId="3" fillId="0" borderId="0" xfId="0" applyNumberFormat="1" applyFont="1" applyAlignment="1">
      <alignment horizontal="center"/>
    </xf>
    <xf numFmtId="164" fontId="3" fillId="0" borderId="0" xfId="0" applyNumberFormat="1" applyFont="1"/>
    <xf numFmtId="2" fontId="7" fillId="0" borderId="0" xfId="0" applyNumberFormat="1" applyFont="1"/>
    <xf numFmtId="2" fontId="3" fillId="0" borderId="5" xfId="0" applyNumberFormat="1" applyFont="1" applyBorder="1"/>
    <xf numFmtId="164" fontId="3" fillId="0" borderId="5" xfId="0" applyNumberFormat="1" applyFont="1" applyBorder="1"/>
    <xf numFmtId="167" fontId="3" fillId="8" borderId="0" xfId="0" applyNumberFormat="1" applyFont="1" applyFill="1" applyAlignment="1">
      <alignment horizontal="center"/>
    </xf>
    <xf numFmtId="2" fontId="3" fillId="0" borderId="0" xfId="0" applyNumberFormat="1" applyFont="1"/>
    <xf numFmtId="164" fontId="3" fillId="0" borderId="5" xfId="0" applyNumberFormat="1" applyFont="1" applyFill="1" applyBorder="1"/>
    <xf numFmtId="167" fontId="3" fillId="0" borderId="0" xfId="0" applyNumberFormat="1" applyFont="1" applyFill="1" applyAlignment="1">
      <alignment horizontal="center"/>
    </xf>
    <xf numFmtId="164" fontId="24" fillId="0" borderId="0" xfId="0" applyNumberFormat="1" applyFont="1"/>
    <xf numFmtId="0" fontId="25" fillId="0" borderId="0" xfId="0" applyFont="1"/>
    <xf numFmtId="0" fontId="23" fillId="0" borderId="0" xfId="0" applyFont="1"/>
    <xf numFmtId="169" fontId="3" fillId="9" borderId="0" xfId="0" applyNumberFormat="1" applyFont="1" applyFill="1" applyAlignment="1"/>
    <xf numFmtId="0" fontId="3" fillId="9" borderId="0" xfId="0" applyFont="1" applyFill="1" applyAlignment="1"/>
    <xf numFmtId="0" fontId="0" fillId="9" borderId="0" xfId="0" applyFill="1" applyAlignment="1"/>
    <xf numFmtId="0" fontId="7" fillId="10" borderId="0" xfId="0" applyFont="1" applyFill="1"/>
    <xf numFmtId="0" fontId="3" fillId="10" borderId="0" xfId="0" applyFont="1" applyFill="1"/>
    <xf numFmtId="0" fontId="6" fillId="10" borderId="0" xfId="0" applyFont="1" applyFill="1"/>
    <xf numFmtId="0" fontId="2" fillId="10" borderId="0" xfId="0" applyFont="1" applyFill="1" applyAlignment="1"/>
    <xf numFmtId="0" fontId="3" fillId="10" borderId="0" xfId="0" applyFont="1" applyFill="1" applyAlignment="1"/>
    <xf numFmtId="0" fontId="7" fillId="0" borderId="0" xfId="0" applyFont="1" applyFill="1"/>
    <xf numFmtId="2" fontId="3" fillId="6" borderId="0" xfId="0" applyNumberFormat="1" applyFont="1" applyFill="1" applyAlignment="1"/>
    <xf numFmtId="2" fontId="10" fillId="0" borderId="0" xfId="0" applyNumberFormat="1" applyFont="1" applyAlignment="1">
      <alignment horizontal="left"/>
    </xf>
    <xf numFmtId="0" fontId="0" fillId="0" borderId="0" xfId="0" applyFill="1" applyAlignment="1"/>
    <xf numFmtId="169" fontId="8" fillId="0" borderId="0" xfId="0" applyNumberFormat="1" applyFont="1" applyFill="1" applyAlignment="1"/>
    <xf numFmtId="2" fontId="3" fillId="0" borderId="5" xfId="0" applyNumberFormat="1" applyFont="1" applyBorder="1" applyAlignment="1"/>
    <xf numFmtId="169" fontId="3" fillId="0" borderId="5" xfId="0" applyNumberFormat="1" applyFont="1" applyBorder="1" applyAlignment="1"/>
    <xf numFmtId="0" fontId="28" fillId="0" borderId="0" xfId="0" applyFont="1" applyAlignment="1"/>
    <xf numFmtId="165" fontId="28" fillId="0" borderId="0" xfId="0" applyNumberFormat="1" applyFont="1"/>
    <xf numFmtId="2" fontId="3" fillId="11" borderId="0" xfId="0" applyNumberFormat="1" applyFont="1" applyFill="1"/>
    <xf numFmtId="0" fontId="3" fillId="11" borderId="0" xfId="0" applyFont="1" applyFill="1"/>
    <xf numFmtId="2" fontId="29" fillId="11" borderId="0" xfId="0" applyNumberFormat="1" applyFont="1" applyFill="1"/>
    <xf numFmtId="165" fontId="3" fillId="12" borderId="6" xfId="0" applyNumberFormat="1" applyFont="1" applyFill="1" applyBorder="1"/>
    <xf numFmtId="0" fontId="31" fillId="0" borderId="0" xfId="0" applyFont="1"/>
    <xf numFmtId="1" fontId="3" fillId="0" borderId="1" xfId="0" applyNumberFormat="1" applyFont="1" applyBorder="1"/>
    <xf numFmtId="2" fontId="3" fillId="0" borderId="2" xfId="0" applyNumberFormat="1" applyFont="1" applyBorder="1"/>
    <xf numFmtId="1" fontId="3" fillId="0" borderId="3" xfId="0" applyNumberFormat="1" applyFont="1" applyBorder="1"/>
    <xf numFmtId="0" fontId="32" fillId="0" borderId="0" xfId="0" applyFont="1" applyFill="1" applyBorder="1" applyAlignment="1"/>
    <xf numFmtId="2" fontId="3" fillId="3" borderId="1" xfId="0" applyNumberFormat="1" applyFont="1" applyFill="1" applyBorder="1"/>
    <xf numFmtId="2" fontId="3" fillId="3" borderId="2" xfId="0" applyNumberFormat="1" applyFont="1" applyFill="1" applyBorder="1"/>
    <xf numFmtId="2" fontId="3" fillId="3" borderId="4" xfId="0" applyNumberFormat="1" applyFont="1" applyFill="1" applyBorder="1"/>
    <xf numFmtId="2" fontId="6" fillId="4" borderId="0" xfId="0" applyNumberFormat="1" applyFont="1" applyFill="1"/>
  </cellXfs>
  <cellStyles count="7">
    <cellStyle name="Followed Hyperlink" xfId="4" builtinId="9" hidden="1"/>
    <cellStyle name="Followed Hyperlink" xfId="6" builtinId="9" hidden="1"/>
    <cellStyle name="Hyperlink" xfId="3" builtinId="8" hidden="1"/>
    <cellStyle name="Hyperlink" xfId="5" builtinId="8" hidden="1"/>
    <cellStyle name="Normal" xfId="0" builtinId="0"/>
    <cellStyle name="Normal_Buenos Aires P's &amp; rents m" xfId="1"/>
    <cellStyle name="Normal_Chile_1631-1830" xfId="2"/>
  </cellStyles>
  <dxfs count="0"/>
  <tableStyles count="0" defaultTableStyle="TableStyleMedium9" defaultPivotStyle="PivotStyleMedium4"/>
  <colors>
    <mruColors>
      <color rgb="FFFFCB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workbookViewId="0">
      <selection sqref="A1:A2"/>
    </sheetView>
  </sheetViews>
  <sheetFormatPr baseColWidth="10" defaultColWidth="10.6640625" defaultRowHeight="16" x14ac:dyDescent="0.2"/>
  <cols>
    <col min="1" max="12" width="10.6640625" style="4"/>
    <col min="13" max="13" width="2.6640625" style="4" customWidth="1"/>
    <col min="14" max="16384" width="10.6640625" style="4"/>
  </cols>
  <sheetData>
    <row r="1" spans="1:1" x14ac:dyDescent="0.2">
      <c r="A1" t="s">
        <v>459</v>
      </c>
    </row>
    <row r="2" spans="1:1" x14ac:dyDescent="0.2">
      <c r="A2" t="s">
        <v>460</v>
      </c>
    </row>
    <row r="3" spans="1:1" ht="20" x14ac:dyDescent="0.2">
      <c r="A3" s="103" t="s">
        <v>1</v>
      </c>
    </row>
    <row r="5" spans="1:1" ht="18" x14ac:dyDescent="0.2">
      <c r="A5" s="288" t="s">
        <v>3</v>
      </c>
    </row>
    <row r="6" spans="1:1" ht="18" x14ac:dyDescent="0.2">
      <c r="A6" s="289" t="s">
        <v>4</v>
      </c>
    </row>
    <row r="8" spans="1:1" x14ac:dyDescent="0.2">
      <c r="A8" s="4" t="s">
        <v>72</v>
      </c>
    </row>
    <row r="9" spans="1:1" x14ac:dyDescent="0.2">
      <c r="A9" s="4" t="s">
        <v>310</v>
      </c>
    </row>
    <row r="10" spans="1:1" x14ac:dyDescent="0.2">
      <c r="A10" s="4" t="s">
        <v>32</v>
      </c>
    </row>
    <row r="11" spans="1:1" x14ac:dyDescent="0.2">
      <c r="A11" s="4" t="s">
        <v>20</v>
      </c>
    </row>
    <row r="12" spans="1:1" x14ac:dyDescent="0.2">
      <c r="A12" s="4" t="s">
        <v>406</v>
      </c>
    </row>
    <row r="13" spans="1:1" x14ac:dyDescent="0.2">
      <c r="A13" s="4" t="s">
        <v>8</v>
      </c>
    </row>
    <row r="14" spans="1:1" x14ac:dyDescent="0.2">
      <c r="A14" s="4" t="s">
        <v>455</v>
      </c>
    </row>
    <row r="15" spans="1:1" x14ac:dyDescent="0.2">
      <c r="A15" s="4" t="s">
        <v>454</v>
      </c>
    </row>
    <row r="16" spans="1:1" x14ac:dyDescent="0.2">
      <c r="A16" s="4" t="s">
        <v>168</v>
      </c>
    </row>
    <row r="17" spans="1:2" x14ac:dyDescent="0.2">
      <c r="A17" s="4" t="s">
        <v>456</v>
      </c>
    </row>
    <row r="18" spans="1:2" x14ac:dyDescent="0.2">
      <c r="B18" s="4" t="s">
        <v>457</v>
      </c>
    </row>
    <row r="19" spans="1:2" x14ac:dyDescent="0.2">
      <c r="A19" s="4" t="s">
        <v>330</v>
      </c>
    </row>
    <row r="20" spans="1:2" x14ac:dyDescent="0.2">
      <c r="A20" s="4" t="s">
        <v>275</v>
      </c>
    </row>
    <row r="22" spans="1:2" x14ac:dyDescent="0.2">
      <c r="A22" s="69" t="s">
        <v>0</v>
      </c>
    </row>
    <row r="23" spans="1:2" x14ac:dyDescent="0.2">
      <c r="A23" s="69"/>
      <c r="B23" s="69" t="s">
        <v>18</v>
      </c>
    </row>
    <row r="24" spans="1:2" x14ac:dyDescent="0.2">
      <c r="A24" s="69"/>
      <c r="B24" s="69" t="s">
        <v>19</v>
      </c>
    </row>
    <row r="25" spans="1:2" x14ac:dyDescent="0.2">
      <c r="A25" s="69"/>
      <c r="B25" s="69" t="s">
        <v>16</v>
      </c>
    </row>
    <row r="26" spans="1:2" x14ac:dyDescent="0.2">
      <c r="A26" s="69" t="s">
        <v>17</v>
      </c>
    </row>
    <row r="28" spans="1:2" x14ac:dyDescent="0.2">
      <c r="A28" s="4" t="s">
        <v>2</v>
      </c>
    </row>
    <row r="29" spans="1:2" x14ac:dyDescent="0.2">
      <c r="A29" s="4" t="s">
        <v>106</v>
      </c>
    </row>
    <row r="30" spans="1:2" x14ac:dyDescent="0.2">
      <c r="A30" s="4" t="s">
        <v>266</v>
      </c>
    </row>
    <row r="32" spans="1:2" x14ac:dyDescent="0.2">
      <c r="A32" s="4" t="s">
        <v>240</v>
      </c>
    </row>
    <row r="33" spans="1:13" x14ac:dyDescent="0.2">
      <c r="A33" s="104"/>
      <c r="B33" s="104"/>
      <c r="C33" s="104"/>
      <c r="D33" s="104"/>
      <c r="E33" s="104"/>
      <c r="F33" s="104"/>
      <c r="G33" s="104"/>
      <c r="H33" s="104"/>
      <c r="I33" s="104"/>
      <c r="J33" s="104"/>
      <c r="K33" s="104"/>
      <c r="L33" s="104"/>
      <c r="M33" s="104"/>
    </row>
    <row r="34" spans="1:13" x14ac:dyDescent="0.2">
      <c r="A34" s="126" t="s">
        <v>192</v>
      </c>
      <c r="B34" s="126"/>
      <c r="C34" s="126"/>
      <c r="D34" s="126"/>
      <c r="E34" s="126"/>
      <c r="F34" s="126"/>
      <c r="G34" s="126"/>
      <c r="H34" s="126"/>
      <c r="I34" s="126"/>
      <c r="J34" s="126"/>
      <c r="K34" s="126"/>
      <c r="L34" s="126"/>
      <c r="M34" s="104"/>
    </row>
    <row r="35" spans="1:13" x14ac:dyDescent="0.2">
      <c r="A35" s="126"/>
      <c r="B35" s="126" t="s">
        <v>189</v>
      </c>
      <c r="C35" s="126"/>
      <c r="D35" s="126"/>
      <c r="E35" s="126"/>
      <c r="F35" s="126"/>
      <c r="G35" s="126"/>
      <c r="H35" s="126"/>
      <c r="I35" s="126"/>
      <c r="J35" s="126"/>
      <c r="K35" s="126"/>
      <c r="L35" s="126"/>
      <c r="M35" s="104"/>
    </row>
    <row r="36" spans="1:13" x14ac:dyDescent="0.2">
      <c r="A36" s="126"/>
      <c r="B36" s="127" t="s">
        <v>190</v>
      </c>
      <c r="C36" s="126"/>
      <c r="D36" s="126"/>
      <c r="E36" s="126"/>
      <c r="F36" s="126"/>
      <c r="G36" s="126"/>
      <c r="H36" s="126"/>
      <c r="I36" s="126"/>
      <c r="J36" s="126"/>
      <c r="K36" s="126"/>
      <c r="L36" s="126"/>
      <c r="M36" s="104"/>
    </row>
    <row r="37" spans="1:13" x14ac:dyDescent="0.2">
      <c r="A37" s="138"/>
      <c r="B37" s="126" t="s">
        <v>150</v>
      </c>
      <c r="C37" s="126"/>
      <c r="D37" s="126"/>
      <c r="E37" s="126"/>
      <c r="F37" s="126"/>
      <c r="G37" s="126"/>
      <c r="H37" s="126"/>
      <c r="I37" s="126"/>
      <c r="J37" s="126"/>
      <c r="K37" s="126"/>
      <c r="L37" s="126"/>
      <c r="M37" s="104"/>
    </row>
    <row r="38" spans="1:13" x14ac:dyDescent="0.2">
      <c r="A38" s="138"/>
      <c r="B38" s="126" t="s">
        <v>162</v>
      </c>
      <c r="C38" s="126"/>
      <c r="D38" s="126"/>
      <c r="E38" s="126"/>
      <c r="F38" s="126"/>
      <c r="G38" s="126"/>
      <c r="H38" s="126"/>
      <c r="I38" s="126"/>
      <c r="J38" s="126"/>
      <c r="K38" s="126"/>
      <c r="L38" s="126"/>
      <c r="M38" s="104"/>
    </row>
    <row r="39" spans="1:13" x14ac:dyDescent="0.2">
      <c r="A39" s="138"/>
      <c r="B39" s="126" t="s">
        <v>163</v>
      </c>
      <c r="C39" s="126"/>
      <c r="D39" s="126"/>
      <c r="E39" s="126"/>
      <c r="F39" s="126"/>
      <c r="G39" s="126"/>
      <c r="H39" s="126"/>
      <c r="I39" s="126"/>
      <c r="J39" s="126"/>
      <c r="K39" s="126"/>
      <c r="L39" s="126"/>
      <c r="M39" s="104"/>
    </row>
    <row r="40" spans="1:13" x14ac:dyDescent="0.2">
      <c r="A40" s="126"/>
      <c r="B40" s="126"/>
      <c r="C40" s="126"/>
      <c r="D40" s="126"/>
      <c r="E40" s="126"/>
      <c r="F40" s="126"/>
      <c r="G40" s="126"/>
      <c r="H40" s="126"/>
      <c r="I40" s="126"/>
      <c r="J40" s="126"/>
      <c r="K40" s="126"/>
      <c r="L40" s="126"/>
      <c r="M40" s="104"/>
    </row>
    <row r="41" spans="1:13" x14ac:dyDescent="0.2">
      <c r="A41" s="128" t="s">
        <v>164</v>
      </c>
      <c r="B41" s="126"/>
      <c r="C41" s="126"/>
      <c r="D41" s="126"/>
      <c r="E41" s="126"/>
      <c r="F41" s="126"/>
      <c r="G41" s="126"/>
      <c r="H41" s="126"/>
      <c r="I41" s="126"/>
      <c r="J41" s="126"/>
      <c r="K41" s="126"/>
      <c r="L41" s="126"/>
      <c r="M41" s="104"/>
    </row>
    <row r="42" spans="1:13" x14ac:dyDescent="0.2">
      <c r="A42" s="129" t="s">
        <v>165</v>
      </c>
      <c r="B42" s="126"/>
      <c r="C42" s="126"/>
      <c r="D42" s="126"/>
      <c r="E42" s="126"/>
      <c r="F42" s="126"/>
      <c r="G42" s="126"/>
      <c r="H42" s="126"/>
      <c r="I42" s="126"/>
      <c r="J42" s="126"/>
      <c r="K42" s="126"/>
      <c r="L42" s="126"/>
      <c r="M42" s="104"/>
    </row>
    <row r="43" spans="1:13" x14ac:dyDescent="0.2">
      <c r="A43" s="129"/>
      <c r="B43" s="126"/>
      <c r="C43" s="126"/>
      <c r="D43" s="126"/>
      <c r="E43" s="126"/>
      <c r="F43" s="126"/>
      <c r="G43" s="126"/>
      <c r="H43" s="126"/>
      <c r="I43" s="126"/>
      <c r="J43" s="126"/>
      <c r="K43" s="126"/>
      <c r="L43" s="126"/>
      <c r="M43" s="104"/>
    </row>
    <row r="44" spans="1:13" x14ac:dyDescent="0.2">
      <c r="A44" s="128" t="s">
        <v>95</v>
      </c>
      <c r="B44" s="126"/>
      <c r="C44" s="126"/>
      <c r="D44" s="126"/>
      <c r="E44" s="126"/>
      <c r="F44" s="126"/>
      <c r="G44" s="126"/>
      <c r="H44" s="126"/>
      <c r="I44" s="126"/>
      <c r="J44" s="126"/>
      <c r="K44" s="126"/>
      <c r="L44" s="126"/>
      <c r="M44" s="104"/>
    </row>
    <row r="45" spans="1:13" x14ac:dyDescent="0.2">
      <c r="A45" s="129" t="s">
        <v>96</v>
      </c>
      <c r="B45" s="126"/>
      <c r="C45" s="126"/>
      <c r="D45" s="126"/>
      <c r="E45" s="126"/>
      <c r="F45" s="126"/>
      <c r="G45" s="126"/>
      <c r="H45" s="126"/>
      <c r="I45" s="126"/>
      <c r="J45" s="126"/>
      <c r="K45" s="126"/>
      <c r="L45" s="126"/>
      <c r="M45" s="104"/>
    </row>
    <row r="46" spans="1:13" x14ac:dyDescent="0.2">
      <c r="A46" s="126"/>
      <c r="B46" s="126" t="s">
        <v>195</v>
      </c>
      <c r="C46" s="126"/>
      <c r="D46" s="126"/>
      <c r="E46" s="126"/>
      <c r="F46" s="126"/>
      <c r="G46" s="126"/>
      <c r="H46" s="126"/>
      <c r="I46" s="126"/>
      <c r="J46" s="126"/>
      <c r="K46" s="126"/>
      <c r="L46" s="126"/>
      <c r="M46" s="104"/>
    </row>
    <row r="47" spans="1:13" x14ac:dyDescent="0.2">
      <c r="A47" s="130" t="s">
        <v>209</v>
      </c>
      <c r="B47" s="126"/>
      <c r="C47" s="126"/>
      <c r="D47" s="126"/>
      <c r="E47" s="126"/>
      <c r="F47" s="126"/>
      <c r="G47" s="126"/>
      <c r="H47" s="126"/>
      <c r="I47" s="126"/>
      <c r="J47" s="126"/>
      <c r="K47" s="126"/>
      <c r="L47" s="126"/>
      <c r="M47" s="104"/>
    </row>
    <row r="48" spans="1:13" x14ac:dyDescent="0.2">
      <c r="A48" s="126"/>
      <c r="B48" s="130" t="s">
        <v>210</v>
      </c>
      <c r="C48" s="126"/>
      <c r="D48" s="126"/>
      <c r="E48" s="126"/>
      <c r="F48" s="126"/>
      <c r="G48" s="126"/>
      <c r="H48" s="126"/>
      <c r="I48" s="126"/>
      <c r="J48" s="126"/>
      <c r="K48" s="126"/>
      <c r="L48" s="126"/>
      <c r="M48" s="104"/>
    </row>
    <row r="49" spans="1:13" x14ac:dyDescent="0.2">
      <c r="A49" s="126"/>
      <c r="B49" s="126"/>
      <c r="C49" s="126"/>
      <c r="D49" s="126"/>
      <c r="E49" s="126"/>
      <c r="F49" s="126"/>
      <c r="G49" s="126"/>
      <c r="H49" s="126"/>
      <c r="I49" s="126"/>
      <c r="J49" s="126"/>
      <c r="K49" s="126"/>
      <c r="L49" s="126"/>
      <c r="M49" s="104"/>
    </row>
    <row r="50" spans="1:13" x14ac:dyDescent="0.2">
      <c r="A50" s="128" t="s">
        <v>216</v>
      </c>
      <c r="B50" s="126"/>
      <c r="C50" s="126"/>
      <c r="D50" s="126"/>
      <c r="E50" s="126"/>
      <c r="F50" s="126"/>
      <c r="G50" s="126"/>
      <c r="H50" s="126"/>
      <c r="I50" s="126"/>
      <c r="J50" s="126"/>
      <c r="K50" s="126"/>
      <c r="L50" s="126"/>
      <c r="M50" s="104"/>
    </row>
    <row r="51" spans="1:13" x14ac:dyDescent="0.2">
      <c r="A51" s="126"/>
      <c r="B51" s="126"/>
      <c r="C51" s="126"/>
      <c r="D51" s="126"/>
      <c r="E51" s="126"/>
      <c r="F51" s="126"/>
      <c r="G51" s="126"/>
      <c r="H51" s="126"/>
      <c r="I51" s="126"/>
      <c r="J51" s="126"/>
      <c r="K51" s="126"/>
      <c r="L51" s="126"/>
      <c r="M51" s="104"/>
    </row>
    <row r="52" spans="1:13" x14ac:dyDescent="0.2">
      <c r="A52" s="130" t="s">
        <v>217</v>
      </c>
      <c r="B52" s="126"/>
      <c r="C52" s="126"/>
      <c r="D52" s="126"/>
      <c r="E52" s="126"/>
      <c r="F52" s="126"/>
      <c r="G52" s="126"/>
      <c r="H52" s="126"/>
      <c r="I52" s="126"/>
      <c r="J52" s="126"/>
      <c r="K52" s="126"/>
      <c r="L52" s="126"/>
      <c r="M52" s="104"/>
    </row>
    <row r="53" spans="1:13" x14ac:dyDescent="0.2">
      <c r="A53" s="131" t="s">
        <v>218</v>
      </c>
      <c r="B53" s="126"/>
      <c r="C53" s="126"/>
      <c r="D53" s="126"/>
      <c r="E53" s="126"/>
      <c r="F53" s="126"/>
      <c r="G53" s="126"/>
      <c r="H53" s="126"/>
      <c r="I53" s="126"/>
      <c r="J53" s="126"/>
      <c r="K53" s="126"/>
      <c r="L53" s="126"/>
      <c r="M53" s="104"/>
    </row>
    <row r="54" spans="1:13" x14ac:dyDescent="0.2">
      <c r="A54" s="126" t="s">
        <v>219</v>
      </c>
      <c r="B54" s="126"/>
      <c r="C54" s="126"/>
      <c r="D54" s="126"/>
      <c r="E54" s="126"/>
      <c r="F54" s="126"/>
      <c r="G54" s="126"/>
      <c r="H54" s="126"/>
      <c r="I54" s="126"/>
      <c r="J54" s="126"/>
      <c r="K54" s="126"/>
      <c r="L54" s="126"/>
      <c r="M54" s="104"/>
    </row>
    <row r="55" spans="1:13" x14ac:dyDescent="0.2">
      <c r="A55" s="126" t="s">
        <v>59</v>
      </c>
      <c r="B55" s="126"/>
      <c r="C55" s="126"/>
      <c r="D55" s="126"/>
      <c r="E55" s="126"/>
      <c r="F55" s="126"/>
      <c r="G55" s="126"/>
      <c r="H55" s="126"/>
      <c r="I55" s="126"/>
      <c r="J55" s="126"/>
      <c r="K55" s="126"/>
      <c r="L55" s="126"/>
      <c r="M55" s="104"/>
    </row>
    <row r="56" spans="1:13" x14ac:dyDescent="0.2">
      <c r="A56" s="131" t="s">
        <v>60</v>
      </c>
      <c r="B56" s="126"/>
      <c r="C56" s="126"/>
      <c r="D56" s="126"/>
      <c r="E56" s="126"/>
      <c r="F56" s="126"/>
      <c r="G56" s="126"/>
      <c r="H56" s="126"/>
      <c r="I56" s="126"/>
      <c r="J56" s="126"/>
      <c r="K56" s="126"/>
      <c r="L56" s="126"/>
      <c r="M56" s="104"/>
    </row>
    <row r="57" spans="1:13" x14ac:dyDescent="0.2">
      <c r="A57" s="126"/>
      <c r="B57" s="126"/>
      <c r="C57" s="126"/>
      <c r="D57" s="126"/>
      <c r="E57" s="126"/>
      <c r="F57" s="126"/>
      <c r="G57" s="126"/>
      <c r="H57" s="126"/>
      <c r="I57" s="126"/>
      <c r="J57" s="126"/>
      <c r="K57" s="126"/>
      <c r="L57" s="126"/>
      <c r="M57" s="104"/>
    </row>
    <row r="58" spans="1:13" x14ac:dyDescent="0.2">
      <c r="A58" s="132" t="s">
        <v>118</v>
      </c>
      <c r="B58" s="126"/>
      <c r="C58" s="126"/>
      <c r="D58" s="126"/>
      <c r="E58" s="126"/>
      <c r="F58" s="126"/>
      <c r="G58" s="126"/>
      <c r="H58" s="126"/>
      <c r="I58" s="126"/>
      <c r="J58" s="126"/>
      <c r="K58" s="126"/>
      <c r="L58" s="126"/>
      <c r="M58" s="104"/>
    </row>
    <row r="59" spans="1:13" x14ac:dyDescent="0.2">
      <c r="A59" s="126" t="s">
        <v>120</v>
      </c>
      <c r="B59" s="126"/>
      <c r="C59" s="126"/>
      <c r="D59" s="126"/>
      <c r="E59" s="126"/>
      <c r="F59" s="126"/>
      <c r="G59" s="126"/>
      <c r="H59" s="126"/>
      <c r="I59" s="126"/>
      <c r="J59" s="126"/>
      <c r="K59" s="126"/>
      <c r="L59" s="126"/>
      <c r="M59" s="104"/>
    </row>
    <row r="60" spans="1:13" x14ac:dyDescent="0.2">
      <c r="A60" s="126" t="s">
        <v>234</v>
      </c>
      <c r="B60" s="126"/>
      <c r="C60" s="126"/>
      <c r="D60" s="126"/>
      <c r="E60" s="126"/>
      <c r="F60" s="126"/>
      <c r="G60" s="126"/>
      <c r="H60" s="126"/>
      <c r="I60" s="126"/>
      <c r="J60" s="126"/>
      <c r="K60" s="126"/>
      <c r="L60" s="126"/>
      <c r="M60" s="104"/>
    </row>
    <row r="61" spans="1:13" x14ac:dyDescent="0.2">
      <c r="A61" s="133" t="s">
        <v>76</v>
      </c>
      <c r="B61" s="126"/>
      <c r="C61" s="126"/>
      <c r="D61" s="126"/>
      <c r="E61" s="126"/>
      <c r="F61" s="126"/>
      <c r="G61" s="126"/>
      <c r="H61" s="126"/>
      <c r="I61" s="126"/>
      <c r="J61" s="126"/>
      <c r="K61" s="126"/>
      <c r="L61" s="126"/>
      <c r="M61" s="104"/>
    </row>
    <row r="62" spans="1:13" x14ac:dyDescent="0.2">
      <c r="A62" s="126"/>
      <c r="B62" s="126"/>
      <c r="C62" s="126"/>
      <c r="D62" s="126"/>
      <c r="E62" s="126"/>
      <c r="F62" s="126"/>
      <c r="G62" s="126"/>
      <c r="H62" s="126"/>
      <c r="I62" s="126"/>
      <c r="J62" s="126"/>
      <c r="K62" s="126"/>
      <c r="L62" s="126"/>
      <c r="M62" s="104"/>
    </row>
    <row r="63" spans="1:13" x14ac:dyDescent="0.2">
      <c r="A63" s="134" t="s">
        <v>235</v>
      </c>
      <c r="B63" s="126"/>
      <c r="C63" s="126"/>
      <c r="D63" s="126"/>
      <c r="E63" s="126"/>
      <c r="F63" s="126"/>
      <c r="G63" s="126"/>
      <c r="H63" s="126"/>
      <c r="I63" s="126"/>
      <c r="J63" s="126"/>
      <c r="K63" s="126"/>
      <c r="L63" s="126"/>
      <c r="M63" s="104"/>
    </row>
    <row r="64" spans="1:13" x14ac:dyDescent="0.2">
      <c r="A64" s="131" t="s">
        <v>135</v>
      </c>
      <c r="B64" s="126"/>
      <c r="C64" s="126"/>
      <c r="D64" s="126"/>
      <c r="E64" s="126"/>
      <c r="F64" s="126"/>
      <c r="G64" s="126"/>
      <c r="H64" s="126"/>
      <c r="I64" s="126"/>
      <c r="J64" s="126"/>
      <c r="K64" s="126"/>
      <c r="L64" s="126"/>
      <c r="M64" s="104"/>
    </row>
    <row r="65" spans="1:13" x14ac:dyDescent="0.2">
      <c r="A65" s="131" t="s">
        <v>35</v>
      </c>
      <c r="B65" s="126"/>
      <c r="C65" s="126"/>
      <c r="D65" s="126"/>
      <c r="E65" s="126"/>
      <c r="F65" s="126"/>
      <c r="G65" s="126"/>
      <c r="H65" s="126"/>
      <c r="I65" s="126"/>
      <c r="J65" s="126"/>
      <c r="K65" s="126"/>
      <c r="L65" s="126"/>
      <c r="M65" s="104"/>
    </row>
    <row r="66" spans="1:13" x14ac:dyDescent="0.2">
      <c r="A66" s="126" t="s">
        <v>36</v>
      </c>
      <c r="B66" s="126"/>
      <c r="C66" s="126"/>
      <c r="D66" s="126"/>
      <c r="E66" s="126"/>
      <c r="F66" s="126"/>
      <c r="G66" s="126"/>
      <c r="H66" s="126"/>
      <c r="I66" s="126"/>
      <c r="J66" s="126"/>
      <c r="K66" s="126"/>
      <c r="L66" s="126"/>
      <c r="M66" s="104"/>
    </row>
    <row r="67" spans="1:13" x14ac:dyDescent="0.2">
      <c r="A67" s="131" t="s">
        <v>271</v>
      </c>
      <c r="B67" s="126"/>
      <c r="C67" s="126"/>
      <c r="D67" s="126"/>
      <c r="E67" s="126"/>
      <c r="F67" s="126"/>
      <c r="G67" s="126"/>
      <c r="H67" s="126"/>
      <c r="I67" s="126"/>
      <c r="J67" s="126"/>
      <c r="K67" s="126"/>
      <c r="L67" s="126"/>
      <c r="M67" s="104"/>
    </row>
    <row r="68" spans="1:13" x14ac:dyDescent="0.2">
      <c r="A68" s="135"/>
      <c r="B68" s="126"/>
      <c r="C68" s="126"/>
      <c r="D68" s="126"/>
      <c r="E68" s="126"/>
      <c r="F68" s="126"/>
      <c r="G68" s="126"/>
      <c r="H68" s="126"/>
      <c r="I68" s="126"/>
      <c r="J68" s="126"/>
      <c r="K68" s="126"/>
      <c r="L68" s="126"/>
      <c r="M68" s="104"/>
    </row>
    <row r="69" spans="1:13" x14ac:dyDescent="0.2">
      <c r="A69" s="134" t="s">
        <v>99</v>
      </c>
      <c r="B69" s="126"/>
      <c r="C69" s="126"/>
      <c r="D69" s="126"/>
      <c r="E69" s="126"/>
      <c r="F69" s="126"/>
      <c r="G69" s="126"/>
      <c r="H69" s="126"/>
      <c r="I69" s="126"/>
      <c r="J69" s="126"/>
      <c r="K69" s="126"/>
      <c r="L69" s="126"/>
      <c r="M69" s="104"/>
    </row>
    <row r="70" spans="1:13" x14ac:dyDescent="0.2">
      <c r="A70" s="126" t="s">
        <v>128</v>
      </c>
      <c r="B70" s="126"/>
      <c r="C70" s="126"/>
      <c r="D70" s="126"/>
      <c r="E70" s="126"/>
      <c r="F70" s="126"/>
      <c r="G70" s="126"/>
      <c r="H70" s="126"/>
      <c r="I70" s="126"/>
      <c r="J70" s="126"/>
      <c r="K70" s="126"/>
      <c r="L70" s="126"/>
      <c r="M70" s="104"/>
    </row>
    <row r="71" spans="1:13" x14ac:dyDescent="0.2">
      <c r="A71" s="126" t="s">
        <v>129</v>
      </c>
      <c r="B71" s="126"/>
      <c r="C71" s="126"/>
      <c r="D71" s="126"/>
      <c r="E71" s="126"/>
      <c r="F71" s="126"/>
      <c r="G71" s="126"/>
      <c r="H71" s="126"/>
      <c r="I71" s="126"/>
      <c r="J71" s="126"/>
      <c r="K71" s="126"/>
      <c r="L71" s="126"/>
      <c r="M71" s="104"/>
    </row>
    <row r="72" spans="1:13" x14ac:dyDescent="0.2">
      <c r="A72" s="135"/>
      <c r="B72" s="126"/>
      <c r="C72" s="126"/>
      <c r="D72" s="126"/>
      <c r="E72" s="126"/>
      <c r="F72" s="126"/>
      <c r="G72" s="126"/>
      <c r="H72" s="126"/>
      <c r="I72" s="126"/>
      <c r="J72" s="126"/>
      <c r="K72" s="126"/>
      <c r="L72" s="126"/>
      <c r="M72" s="104"/>
    </row>
    <row r="73" spans="1:13" x14ac:dyDescent="0.2">
      <c r="A73" s="128" t="s">
        <v>110</v>
      </c>
      <c r="B73" s="126"/>
      <c r="C73" s="126"/>
      <c r="D73" s="126"/>
      <c r="E73" s="126"/>
      <c r="F73" s="126"/>
      <c r="G73" s="126"/>
      <c r="H73" s="126"/>
      <c r="I73" s="126"/>
      <c r="J73" s="126"/>
      <c r="K73" s="126"/>
      <c r="L73" s="126"/>
      <c r="M73" s="104"/>
    </row>
    <row r="74" spans="1:13" x14ac:dyDescent="0.2">
      <c r="A74" s="126" t="s">
        <v>409</v>
      </c>
      <c r="B74" s="126"/>
      <c r="C74" s="126"/>
      <c r="D74" s="126"/>
      <c r="E74" s="126"/>
      <c r="F74" s="126"/>
      <c r="G74" s="126"/>
      <c r="H74" s="126"/>
      <c r="I74" s="126"/>
      <c r="J74" s="126"/>
      <c r="K74" s="126"/>
      <c r="L74" s="126"/>
      <c r="M74" s="104"/>
    </row>
    <row r="75" spans="1:13" x14ac:dyDescent="0.2">
      <c r="A75" s="126"/>
      <c r="B75" s="126"/>
      <c r="C75" s="126"/>
      <c r="D75" s="126"/>
      <c r="E75" s="126"/>
      <c r="F75" s="126"/>
      <c r="G75" s="126"/>
      <c r="H75" s="126"/>
      <c r="I75" s="126"/>
      <c r="J75" s="126"/>
      <c r="K75" s="126"/>
      <c r="L75" s="126"/>
      <c r="M75" s="104"/>
    </row>
    <row r="76" spans="1:13" x14ac:dyDescent="0.2">
      <c r="A76" s="136" t="s">
        <v>208</v>
      </c>
      <c r="B76" s="126"/>
      <c r="C76" s="126"/>
      <c r="D76" s="126"/>
      <c r="E76" s="126"/>
      <c r="F76" s="126"/>
      <c r="G76" s="126"/>
      <c r="H76" s="126"/>
      <c r="I76" s="126"/>
      <c r="J76" s="126"/>
      <c r="K76" s="126"/>
      <c r="L76" s="126"/>
      <c r="M76" s="104"/>
    </row>
    <row r="77" spans="1:13" x14ac:dyDescent="0.2">
      <c r="A77" s="126" t="s">
        <v>188</v>
      </c>
      <c r="B77" s="126"/>
      <c r="C77" s="126"/>
      <c r="D77" s="126"/>
      <c r="E77" s="126"/>
      <c r="F77" s="126"/>
      <c r="G77" s="126"/>
      <c r="H77" s="126"/>
      <c r="I77" s="126"/>
      <c r="J77" s="126"/>
      <c r="K77" s="126"/>
      <c r="L77" s="126"/>
      <c r="M77" s="104"/>
    </row>
    <row r="78" spans="1:13" x14ac:dyDescent="0.2">
      <c r="A78" s="126"/>
      <c r="B78" s="126"/>
      <c r="C78" s="126"/>
      <c r="D78" s="126"/>
      <c r="E78" s="126"/>
      <c r="F78" s="126"/>
      <c r="G78" s="126"/>
      <c r="H78" s="126"/>
      <c r="I78" s="126"/>
      <c r="J78" s="126"/>
      <c r="K78" s="126"/>
      <c r="L78" s="126"/>
      <c r="M78" s="104"/>
    </row>
    <row r="79" spans="1:13" x14ac:dyDescent="0.2">
      <c r="A79" s="126" t="s">
        <v>254</v>
      </c>
      <c r="B79" s="126"/>
      <c r="C79" s="126"/>
      <c r="D79" s="126"/>
      <c r="E79" s="126"/>
      <c r="F79" s="126"/>
      <c r="G79" s="126"/>
      <c r="H79" s="126"/>
      <c r="I79" s="126"/>
      <c r="J79" s="126"/>
      <c r="K79" s="126"/>
      <c r="L79" s="126"/>
      <c r="M79" s="104"/>
    </row>
    <row r="80" spans="1:13" x14ac:dyDescent="0.2">
      <c r="A80" s="126" t="s">
        <v>255</v>
      </c>
      <c r="B80" s="126"/>
      <c r="C80" s="126"/>
      <c r="D80" s="126"/>
      <c r="E80" s="126"/>
      <c r="F80" s="126"/>
      <c r="G80" s="126"/>
      <c r="H80" s="126"/>
      <c r="I80" s="126"/>
      <c r="J80" s="126"/>
      <c r="K80" s="126"/>
      <c r="L80" s="126"/>
      <c r="M80" s="104"/>
    </row>
    <row r="81" spans="1:13" x14ac:dyDescent="0.2">
      <c r="A81" s="126" t="s">
        <v>39</v>
      </c>
      <c r="B81" s="126"/>
      <c r="C81" s="126"/>
      <c r="D81" s="126"/>
      <c r="E81" s="126"/>
      <c r="F81" s="126"/>
      <c r="G81" s="126"/>
      <c r="H81" s="126"/>
      <c r="I81" s="126"/>
      <c r="J81" s="126"/>
      <c r="K81" s="126"/>
      <c r="L81" s="126"/>
      <c r="M81" s="104"/>
    </row>
    <row r="82" spans="1:13" x14ac:dyDescent="0.2">
      <c r="A82" s="126" t="s">
        <v>40</v>
      </c>
      <c r="B82" s="126"/>
      <c r="C82" s="126"/>
      <c r="D82" s="126"/>
      <c r="E82" s="126"/>
      <c r="F82" s="126"/>
      <c r="G82" s="126"/>
      <c r="H82" s="126"/>
      <c r="I82" s="126"/>
      <c r="J82" s="126"/>
      <c r="K82" s="126"/>
      <c r="L82" s="126"/>
      <c r="M82" s="104"/>
    </row>
    <row r="83" spans="1:13" x14ac:dyDescent="0.2">
      <c r="A83" s="126" t="s">
        <v>133</v>
      </c>
      <c r="B83" s="126"/>
      <c r="C83" s="126"/>
      <c r="D83" s="126"/>
      <c r="E83" s="126"/>
      <c r="F83" s="126"/>
      <c r="G83" s="126"/>
      <c r="H83" s="126"/>
      <c r="I83" s="126"/>
      <c r="J83" s="126"/>
      <c r="K83" s="126"/>
      <c r="L83" s="126"/>
      <c r="M83" s="104"/>
    </row>
    <row r="84" spans="1:13" x14ac:dyDescent="0.2">
      <c r="A84" s="126" t="s">
        <v>113</v>
      </c>
      <c r="B84" s="126"/>
      <c r="C84" s="126"/>
      <c r="D84" s="126"/>
      <c r="E84" s="126"/>
      <c r="F84" s="126"/>
      <c r="G84" s="126"/>
      <c r="H84" s="126"/>
      <c r="I84" s="126"/>
      <c r="J84" s="126"/>
      <c r="K84" s="126"/>
      <c r="L84" s="126"/>
      <c r="M84" s="104"/>
    </row>
    <row r="85" spans="1:13" x14ac:dyDescent="0.2">
      <c r="A85" s="126" t="s">
        <v>114</v>
      </c>
      <c r="B85" s="126"/>
      <c r="C85" s="126"/>
      <c r="D85" s="126"/>
      <c r="E85" s="126"/>
      <c r="F85" s="126"/>
      <c r="G85" s="126"/>
      <c r="H85" s="126"/>
      <c r="I85" s="126"/>
      <c r="J85" s="126"/>
      <c r="K85" s="126"/>
      <c r="L85" s="126"/>
      <c r="M85" s="104"/>
    </row>
    <row r="86" spans="1:13" x14ac:dyDescent="0.2">
      <c r="A86" s="126"/>
      <c r="B86" s="126"/>
      <c r="C86" s="126"/>
      <c r="D86" s="126"/>
      <c r="E86" s="126"/>
      <c r="F86" s="126"/>
      <c r="G86" s="126"/>
      <c r="H86" s="126"/>
      <c r="I86" s="126"/>
      <c r="J86" s="126"/>
      <c r="K86" s="126"/>
      <c r="L86" s="126"/>
      <c r="M86" s="104"/>
    </row>
    <row r="87" spans="1:13" x14ac:dyDescent="0.2">
      <c r="A87" s="126" t="s">
        <v>65</v>
      </c>
      <c r="B87" s="126"/>
      <c r="C87" s="126"/>
      <c r="D87" s="126"/>
      <c r="E87" s="126"/>
      <c r="F87" s="126"/>
      <c r="G87" s="126"/>
      <c r="H87" s="126"/>
      <c r="I87" s="126"/>
      <c r="J87" s="126"/>
      <c r="K87" s="126"/>
      <c r="L87" s="126"/>
      <c r="M87" s="104"/>
    </row>
    <row r="88" spans="1:13" x14ac:dyDescent="0.2">
      <c r="A88" s="126" t="s">
        <v>66</v>
      </c>
      <c r="B88" s="126"/>
      <c r="C88" s="126"/>
      <c r="D88" s="126"/>
      <c r="E88" s="126"/>
      <c r="F88" s="126"/>
      <c r="G88" s="126"/>
      <c r="H88" s="126"/>
      <c r="I88" s="126"/>
      <c r="J88" s="126"/>
      <c r="K88" s="126"/>
      <c r="L88" s="126"/>
      <c r="M88" s="104"/>
    </row>
    <row r="89" spans="1:13" x14ac:dyDescent="0.2">
      <c r="A89" s="126" t="s">
        <v>131</v>
      </c>
      <c r="B89" s="126"/>
      <c r="C89" s="126"/>
      <c r="D89" s="126"/>
      <c r="E89" s="126"/>
      <c r="F89" s="126"/>
      <c r="G89" s="126"/>
      <c r="H89" s="126"/>
      <c r="I89" s="126"/>
      <c r="J89" s="126"/>
      <c r="K89" s="126"/>
      <c r="L89" s="126"/>
      <c r="M89" s="104"/>
    </row>
    <row r="90" spans="1:13" x14ac:dyDescent="0.2">
      <c r="A90" s="126" t="s">
        <v>175</v>
      </c>
      <c r="B90" s="126"/>
      <c r="C90" s="126"/>
      <c r="D90" s="126"/>
      <c r="E90" s="126"/>
      <c r="F90" s="126"/>
      <c r="G90" s="126"/>
      <c r="H90" s="126"/>
      <c r="I90" s="126"/>
      <c r="J90" s="126"/>
      <c r="K90" s="126"/>
      <c r="L90" s="126"/>
      <c r="M90" s="104"/>
    </row>
    <row r="91" spans="1:13" x14ac:dyDescent="0.2">
      <c r="A91" s="126" t="s">
        <v>174</v>
      </c>
      <c r="B91" s="126"/>
      <c r="C91" s="126"/>
      <c r="D91" s="126"/>
      <c r="E91" s="126"/>
      <c r="F91" s="126"/>
      <c r="G91" s="126"/>
      <c r="H91" s="126"/>
      <c r="I91" s="126"/>
      <c r="J91" s="126"/>
      <c r="K91" s="126"/>
      <c r="L91" s="126"/>
      <c r="M91" s="104"/>
    </row>
    <row r="92" spans="1:13" x14ac:dyDescent="0.2">
      <c r="A92" s="126" t="s">
        <v>176</v>
      </c>
      <c r="B92" s="126"/>
      <c r="C92" s="126"/>
      <c r="D92" s="126"/>
      <c r="E92" s="126"/>
      <c r="F92" s="126"/>
      <c r="G92" s="126"/>
      <c r="H92" s="126"/>
      <c r="I92" s="126"/>
      <c r="J92" s="126"/>
      <c r="K92" s="126"/>
      <c r="L92" s="126"/>
      <c r="M92" s="104"/>
    </row>
    <row r="93" spans="1:13" x14ac:dyDescent="0.2">
      <c r="A93" s="126"/>
      <c r="B93" s="126"/>
      <c r="C93" s="126"/>
      <c r="D93" s="126"/>
      <c r="E93" s="126"/>
      <c r="F93" s="126"/>
      <c r="G93" s="126"/>
      <c r="H93" s="126"/>
      <c r="I93" s="126"/>
      <c r="J93" s="126"/>
      <c r="K93" s="126"/>
      <c r="L93" s="126"/>
      <c r="M93" s="104"/>
    </row>
    <row r="94" spans="1:13" x14ac:dyDescent="0.2">
      <c r="A94" s="126" t="s">
        <v>132</v>
      </c>
      <c r="B94" s="126"/>
      <c r="C94" s="126"/>
      <c r="D94" s="126"/>
      <c r="E94" s="126"/>
      <c r="F94" s="126"/>
      <c r="G94" s="126"/>
      <c r="H94" s="126"/>
      <c r="I94" s="126"/>
      <c r="J94" s="126"/>
      <c r="K94" s="126"/>
      <c r="L94" s="126"/>
      <c r="M94" s="104"/>
    </row>
    <row r="95" spans="1:13" x14ac:dyDescent="0.2">
      <c r="A95" s="126" t="s">
        <v>246</v>
      </c>
      <c r="B95" s="126"/>
      <c r="C95" s="126"/>
      <c r="D95" s="126"/>
      <c r="E95" s="126"/>
      <c r="F95" s="126"/>
      <c r="G95" s="126"/>
      <c r="H95" s="126"/>
      <c r="I95" s="126"/>
      <c r="J95" s="126"/>
      <c r="K95" s="126"/>
      <c r="L95" s="126"/>
      <c r="M95" s="104"/>
    </row>
    <row r="96" spans="1:13" x14ac:dyDescent="0.2">
      <c r="A96" s="126"/>
      <c r="B96" s="126"/>
      <c r="C96" s="126"/>
      <c r="D96" s="126"/>
      <c r="E96" s="126"/>
      <c r="F96" s="126"/>
      <c r="G96" s="126"/>
      <c r="H96" s="126"/>
      <c r="I96" s="126"/>
      <c r="J96" s="126"/>
      <c r="K96" s="126"/>
      <c r="L96" s="126"/>
      <c r="M96" s="104"/>
    </row>
    <row r="97" spans="1:13" x14ac:dyDescent="0.2">
      <c r="A97" s="126" t="s">
        <v>356</v>
      </c>
      <c r="B97" s="126"/>
      <c r="C97" s="126"/>
      <c r="D97" s="126"/>
      <c r="E97" s="126"/>
      <c r="F97" s="126"/>
      <c r="G97" s="126"/>
      <c r="H97" s="126"/>
      <c r="I97" s="126"/>
      <c r="J97" s="126"/>
      <c r="K97" s="126"/>
      <c r="L97" s="126"/>
      <c r="M97" s="104"/>
    </row>
    <row r="98" spans="1:13" x14ac:dyDescent="0.2">
      <c r="A98" s="126"/>
      <c r="B98" s="126" t="s">
        <v>357</v>
      </c>
      <c r="C98" s="126"/>
      <c r="D98" s="126"/>
      <c r="E98" s="126"/>
      <c r="F98" s="126"/>
      <c r="G98" s="126"/>
      <c r="H98" s="126"/>
      <c r="I98" s="126"/>
      <c r="J98" s="126"/>
      <c r="K98" s="126"/>
      <c r="L98" s="126"/>
      <c r="M98" s="104"/>
    </row>
    <row r="99" spans="1:13" x14ac:dyDescent="0.2">
      <c r="A99" s="138"/>
      <c r="B99" s="126" t="s">
        <v>157</v>
      </c>
      <c r="C99" s="138"/>
      <c r="D99" s="138"/>
      <c r="E99" s="138"/>
      <c r="F99" s="138"/>
      <c r="G99" s="138"/>
      <c r="H99" s="138"/>
      <c r="I99" s="138"/>
      <c r="J99" s="138"/>
      <c r="K99" s="138"/>
      <c r="L99" s="138"/>
      <c r="M99" s="104"/>
    </row>
    <row r="100" spans="1:13" x14ac:dyDescent="0.2">
      <c r="A100" s="105"/>
      <c r="B100" s="105"/>
      <c r="C100" s="105"/>
      <c r="D100" s="105"/>
      <c r="E100" s="105"/>
      <c r="F100" s="105"/>
      <c r="G100" s="105"/>
      <c r="H100" s="105"/>
      <c r="I100" s="105"/>
      <c r="J100" s="105"/>
      <c r="K100" s="105"/>
      <c r="L100" s="105"/>
      <c r="M100" s="105"/>
    </row>
    <row r="102" spans="1:13" x14ac:dyDescent="0.2">
      <c r="A102" s="125" t="s">
        <v>276</v>
      </c>
    </row>
    <row r="103" spans="1:13" x14ac:dyDescent="0.2">
      <c r="B103" s="4" t="s">
        <v>345</v>
      </c>
    </row>
    <row r="105" spans="1:13" x14ac:dyDescent="0.2">
      <c r="A105" s="125" t="s">
        <v>346</v>
      </c>
    </row>
    <row r="106" spans="1:13" x14ac:dyDescent="0.2">
      <c r="A106" s="4" t="s">
        <v>347</v>
      </c>
    </row>
    <row r="107" spans="1:13" x14ac:dyDescent="0.2">
      <c r="B107" s="4" t="s">
        <v>342</v>
      </c>
    </row>
    <row r="108" spans="1:13" x14ac:dyDescent="0.2">
      <c r="B108" s="4" t="s">
        <v>269</v>
      </c>
    </row>
    <row r="110" spans="1:13" x14ac:dyDescent="0.2">
      <c r="A110" s="4" t="s">
        <v>249</v>
      </c>
      <c r="F110" s="137"/>
      <c r="G110" s="137"/>
      <c r="H110" s="137"/>
      <c r="I110" s="137"/>
    </row>
    <row r="111" spans="1:13" x14ac:dyDescent="0.2">
      <c r="A111" s="4" t="s">
        <v>340</v>
      </c>
      <c r="F111" s="137"/>
      <c r="G111" s="137"/>
      <c r="H111" s="137"/>
      <c r="I111" s="137"/>
    </row>
    <row r="112" spans="1:13" x14ac:dyDescent="0.2">
      <c r="B112" s="228" t="s">
        <v>341</v>
      </c>
      <c r="F112" s="137"/>
      <c r="G112" s="137"/>
      <c r="H112" s="137"/>
      <c r="I112" s="137"/>
    </row>
    <row r="113" spans="1:9" x14ac:dyDescent="0.2">
      <c r="F113" s="137"/>
      <c r="G113" s="137"/>
      <c r="H113" s="137"/>
      <c r="I113" s="137"/>
    </row>
    <row r="114" spans="1:9" x14ac:dyDescent="0.2">
      <c r="A114" s="210" t="s">
        <v>318</v>
      </c>
      <c r="F114" s="137"/>
      <c r="G114" s="137"/>
      <c r="H114" s="137"/>
      <c r="I114" s="137"/>
    </row>
    <row r="115" spans="1:9" x14ac:dyDescent="0.2">
      <c r="A115" s="4" t="s">
        <v>337</v>
      </c>
      <c r="F115" s="137"/>
      <c r="G115" s="137"/>
      <c r="H115" s="137"/>
      <c r="I115" s="137"/>
    </row>
    <row r="116" spans="1:9" x14ac:dyDescent="0.2">
      <c r="B116" s="4" t="s">
        <v>167</v>
      </c>
      <c r="F116" s="137"/>
      <c r="G116" s="137"/>
      <c r="H116" s="137"/>
      <c r="I116" s="137"/>
    </row>
    <row r="117" spans="1:9" x14ac:dyDescent="0.2">
      <c r="B117" s="4" t="s">
        <v>173</v>
      </c>
      <c r="F117" s="137"/>
      <c r="G117" s="137"/>
      <c r="H117" s="137"/>
      <c r="I117" s="137"/>
    </row>
    <row r="118" spans="1:9" x14ac:dyDescent="0.2">
      <c r="B118" s="4" t="s">
        <v>107</v>
      </c>
      <c r="F118" s="137"/>
      <c r="G118" s="137"/>
      <c r="H118" s="137"/>
      <c r="I118" s="137"/>
    </row>
    <row r="119" spans="1:9" x14ac:dyDescent="0.2">
      <c r="B119" s="4" t="s">
        <v>73</v>
      </c>
      <c r="F119" s="137"/>
      <c r="G119" s="137"/>
      <c r="H119" s="137"/>
      <c r="I119" s="137"/>
    </row>
    <row r="120" spans="1:9" x14ac:dyDescent="0.2">
      <c r="B120" s="4" t="s">
        <v>48</v>
      </c>
      <c r="F120" s="137"/>
      <c r="G120" s="137"/>
      <c r="H120" s="137"/>
      <c r="I120" s="137"/>
    </row>
  </sheetData>
  <phoneticPr fontId="1" type="noConversion"/>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abSelected="1" workbookViewId="0">
      <selection activeCell="I28" sqref="I28"/>
    </sheetView>
  </sheetViews>
  <sheetFormatPr baseColWidth="10" defaultColWidth="10.6640625" defaultRowHeight="16" x14ac:dyDescent="0.2"/>
  <cols>
    <col min="1" max="1" width="6.5" style="4" customWidth="1"/>
    <col min="2" max="2" width="9.33203125" style="31" customWidth="1"/>
    <col min="3" max="3" width="9.5" style="31" customWidth="1"/>
    <col min="4" max="4" width="8.83203125" style="34" customWidth="1"/>
    <col min="5" max="5" width="10.6640625" style="4"/>
    <col min="6" max="6" width="17" style="4" customWidth="1"/>
    <col min="7" max="7" width="7.6640625" style="4" customWidth="1"/>
    <col min="8" max="9" width="12" style="4" customWidth="1"/>
    <col min="10" max="10" width="7.6640625" style="4" customWidth="1"/>
    <col min="11" max="16384" width="10.6640625" style="4"/>
  </cols>
  <sheetData>
    <row r="1" spans="1:11" x14ac:dyDescent="0.2">
      <c r="A1" t="s">
        <v>459</v>
      </c>
      <c r="B1" s="279"/>
      <c r="C1" s="279"/>
      <c r="D1" s="279"/>
    </row>
    <row r="2" spans="1:11" x14ac:dyDescent="0.2">
      <c r="A2" t="s">
        <v>460</v>
      </c>
      <c r="B2" s="279"/>
      <c r="C2" s="279"/>
      <c r="D2" s="279"/>
    </row>
    <row r="3" spans="1:11" ht="18" x14ac:dyDescent="0.2">
      <c r="B3" s="287" t="s">
        <v>41</v>
      </c>
      <c r="C3" s="279"/>
      <c r="D3" s="279"/>
    </row>
    <row r="5" spans="1:11" ht="18" x14ac:dyDescent="0.2">
      <c r="B5" s="232" t="s">
        <v>169</v>
      </c>
      <c r="C5" s="203"/>
      <c r="D5" s="203"/>
      <c r="E5" s="204"/>
      <c r="F5" s="204"/>
      <c r="G5" s="204"/>
      <c r="H5" s="204"/>
      <c r="I5" s="204"/>
      <c r="J5" s="204"/>
    </row>
    <row r="6" spans="1:11" x14ac:dyDescent="0.2">
      <c r="B6" s="195"/>
      <c r="C6" s="195"/>
      <c r="D6" s="195"/>
    </row>
    <row r="7" spans="1:11" x14ac:dyDescent="0.2">
      <c r="B7" s="195" t="s">
        <v>364</v>
      </c>
      <c r="E7" s="4" t="s">
        <v>365</v>
      </c>
      <c r="H7" s="200" t="s">
        <v>242</v>
      </c>
      <c r="I7" s="201"/>
      <c r="J7" s="202"/>
      <c r="K7" s="125" t="s">
        <v>225</v>
      </c>
    </row>
    <row r="8" spans="1:11" x14ac:dyDescent="0.2">
      <c r="B8" s="212" t="s">
        <v>366</v>
      </c>
      <c r="C8" s="212" t="s">
        <v>366</v>
      </c>
      <c r="D8" s="207"/>
      <c r="E8" s="212" t="s">
        <v>366</v>
      </c>
      <c r="F8" s="212" t="s">
        <v>366</v>
      </c>
      <c r="G8" s="207"/>
      <c r="H8" s="213" t="s">
        <v>224</v>
      </c>
      <c r="I8" s="213" t="s">
        <v>224</v>
      </c>
      <c r="J8" s="207"/>
      <c r="K8" s="4" t="s">
        <v>305</v>
      </c>
    </row>
    <row r="9" spans="1:11" x14ac:dyDescent="0.2">
      <c r="B9" s="207" t="s">
        <v>300</v>
      </c>
      <c r="C9" s="207" t="s">
        <v>301</v>
      </c>
      <c r="D9" s="207" t="s">
        <v>302</v>
      </c>
      <c r="E9" s="207" t="s">
        <v>300</v>
      </c>
      <c r="F9" s="207" t="s">
        <v>301</v>
      </c>
      <c r="G9" s="207" t="s">
        <v>302</v>
      </c>
      <c r="H9" s="207" t="s">
        <v>300</v>
      </c>
      <c r="I9" s="207" t="s">
        <v>301</v>
      </c>
      <c r="J9" s="207" t="s">
        <v>302</v>
      </c>
    </row>
    <row r="10" spans="1:11" x14ac:dyDescent="0.2">
      <c r="A10" s="4">
        <v>1602</v>
      </c>
      <c r="B10" s="238">
        <f>'Japan v Eng 1602-1648'!P43</f>
        <v>75.86959668301408</v>
      </c>
      <c r="C10" s="238">
        <f>'Japan v Eng 1602-1648'!R43</f>
        <v>140.84817570026863</v>
      </c>
      <c r="D10" s="258">
        <f t="shared" ref="D10:D16" si="0">B10/C10</f>
        <v>0.5386622603083483</v>
      </c>
      <c r="E10" s="238">
        <f>'Japan v Eng 1602-1648'!P48</f>
        <v>121.61689387919473</v>
      </c>
      <c r="F10" s="238">
        <f>'Japan v Eng 1602-1648'!R48</f>
        <v>656.36588565845238</v>
      </c>
      <c r="G10" s="258">
        <f t="shared" ref="G10:G16" si="1">E10/F10</f>
        <v>0.18528826152686353</v>
      </c>
      <c r="H10" s="276">
        <f>'Japan v Eng 1602-1648'!P49</f>
        <v>1.6029727215674352</v>
      </c>
      <c r="I10" s="276">
        <f>'Japan v Eng 1602-1648'!R49</f>
        <v>4.6600950448604257</v>
      </c>
      <c r="J10" s="258">
        <f t="shared" ref="J10:J16" si="2">H10/I10</f>
        <v>0.34397854681855439</v>
      </c>
      <c r="K10" s="4" t="s">
        <v>9</v>
      </c>
    </row>
    <row r="11" spans="1:11" x14ac:dyDescent="0.2">
      <c r="A11" s="4">
        <v>1648</v>
      </c>
      <c r="B11" s="238">
        <f>'Japan v Eng 1602-1648'!V43</f>
        <v>137.48484294111933</v>
      </c>
      <c r="C11" s="238">
        <f>'Japan v Eng 1602-1648'!X43</f>
        <v>218.08304616444087</v>
      </c>
      <c r="D11" s="258">
        <f t="shared" si="0"/>
        <v>0.63042425974484884</v>
      </c>
      <c r="E11" s="238">
        <f>'Japan v Eng 1602-1648'!V48</f>
        <v>231.1794259169566</v>
      </c>
      <c r="F11" s="238">
        <f>'Japan v Eng 1602-1648'!X48</f>
        <v>871.33948293989476</v>
      </c>
      <c r="G11" s="258">
        <f t="shared" si="1"/>
        <v>0.26531498967194561</v>
      </c>
      <c r="H11" s="277">
        <f>'Japan v Eng 1602-1648'!V49</f>
        <v>1.6814902717382736</v>
      </c>
      <c r="I11" s="277">
        <f>'Japan v Eng 1602-1648'!X49</f>
        <v>3.9954480564384625</v>
      </c>
      <c r="J11" s="258">
        <f t="shared" si="2"/>
        <v>0.42085149099326596</v>
      </c>
      <c r="K11" s="4" t="s">
        <v>274</v>
      </c>
    </row>
    <row r="12" spans="1:11" x14ac:dyDescent="0.2">
      <c r="A12" s="4">
        <v>1713</v>
      </c>
      <c r="B12" s="222">
        <f>'Japan vs GB 1713-1870'!V41</f>
        <v>145.68472565072361</v>
      </c>
      <c r="C12" s="286">
        <f>'Japan vs GB 1713-1870'!X41</f>
        <v>210.81091758365491</v>
      </c>
      <c r="D12" s="258">
        <f t="shared" si="0"/>
        <v>0.69106822037768678</v>
      </c>
      <c r="E12" s="209">
        <f>'Japan vs GB 1713-1870'!V46</f>
        <v>219.6912701821137</v>
      </c>
      <c r="F12" s="209">
        <f>'Japan vs GB 1713-1870'!X46</f>
        <v>1122.7482636209293</v>
      </c>
      <c r="G12" s="208">
        <f t="shared" si="1"/>
        <v>0.19567277661476529</v>
      </c>
      <c r="H12" s="214">
        <f>'Japan vs GB 1713-1870'!V47</f>
        <v>1.5079911033969298</v>
      </c>
      <c r="I12" s="214">
        <f>'Japan vs GB 1713-1870'!X47</f>
        <v>5.3258544504716907</v>
      </c>
      <c r="J12" s="258">
        <f t="shared" si="2"/>
        <v>0.28314538397934863</v>
      </c>
      <c r="K12" s="4" t="s">
        <v>273</v>
      </c>
    </row>
    <row r="13" spans="1:11" x14ac:dyDescent="0.2">
      <c r="A13" s="4">
        <v>1750</v>
      </c>
      <c r="B13" s="222">
        <f>'Japan vs GB 1713-1870'!AB41</f>
        <v>90.393798844644934</v>
      </c>
      <c r="C13" s="286">
        <f>'Japan vs GB 1713-1870'!AD41</f>
        <v>207.3653290555709</v>
      </c>
      <c r="D13" s="258">
        <f t="shared" si="0"/>
        <v>0.43591568203004999</v>
      </c>
      <c r="E13" s="222">
        <f>'Japan vs GB 1713-1870'!AB46</f>
        <v>144.29677004855003</v>
      </c>
      <c r="F13" s="222">
        <f>'Japan vs GB 1713-1870'!AD46</f>
        <v>1344.2730923694778</v>
      </c>
      <c r="G13" s="208">
        <f t="shared" si="1"/>
        <v>0.1073418569988676</v>
      </c>
      <c r="H13" s="217">
        <f>'Japan vs GB 1713-1870'!AB47</f>
        <v>1.5963127105272485</v>
      </c>
      <c r="I13" s="217">
        <f>'Japan vs GB 1713-1870'!AD47</f>
        <v>6.4826318772374538</v>
      </c>
      <c r="J13" s="258">
        <f t="shared" si="2"/>
        <v>0.24624454091437789</v>
      </c>
      <c r="K13" s="4" t="s">
        <v>274</v>
      </c>
    </row>
    <row r="14" spans="1:11" x14ac:dyDescent="0.2">
      <c r="A14" s="4">
        <v>1800</v>
      </c>
      <c r="B14" s="222">
        <f>'Japan vs GB 1713-1870'!AH41</f>
        <v>96.762089344371319</v>
      </c>
      <c r="C14" s="286">
        <f>'Japan vs GB 1713-1870'!AJ41</f>
        <v>329.36766571233818</v>
      </c>
      <c r="D14" s="258">
        <f t="shared" si="0"/>
        <v>0.29378138602373011</v>
      </c>
      <c r="E14" s="222">
        <f>'Japan vs GB 1713-1870'!AH46</f>
        <v>183.30493120505952</v>
      </c>
      <c r="F14" s="222">
        <f>'Japan vs GB 1713-1870'!AJ46</f>
        <v>2913.1175805539851</v>
      </c>
      <c r="G14" s="208">
        <f t="shared" si="1"/>
        <v>6.2923972732401884E-2</v>
      </c>
      <c r="H14" s="219">
        <f>'Japan vs GB 1713-1870'!AH47</f>
        <v>1.8943878997143877</v>
      </c>
      <c r="I14" s="219">
        <f>'Japan vs GB 1713-1870'!AJ47</f>
        <v>8.8445766959353929</v>
      </c>
      <c r="J14" s="258">
        <f t="shared" si="2"/>
        <v>0.21418638390969816</v>
      </c>
      <c r="K14" s="4" t="s">
        <v>274</v>
      </c>
    </row>
    <row r="15" spans="1:11" x14ac:dyDescent="0.2">
      <c r="A15" s="4">
        <v>1850</v>
      </c>
      <c r="B15" s="222">
        <f>'Japan vs GB 1713-1870'!AN41</f>
        <v>123.54780997115131</v>
      </c>
      <c r="C15" s="286">
        <f>'Japan vs GB 1713-1870'!AP41</f>
        <v>293.71523202160444</v>
      </c>
      <c r="D15" s="258">
        <f t="shared" si="0"/>
        <v>0.42063807559719496</v>
      </c>
      <c r="E15" s="222">
        <f>'Japan vs GB 1713-1870'!AN46</f>
        <v>273.43915628465282</v>
      </c>
      <c r="F15" s="222">
        <f>'Japan vs GB 1713-1870'!AP46</f>
        <v>2603.6431269979657</v>
      </c>
      <c r="G15" s="208">
        <f t="shared" si="1"/>
        <v>0.10502174950525256</v>
      </c>
      <c r="H15" s="220">
        <f>'Japan vs GB 1713-1870'!AN47</f>
        <v>2.2132254416205472</v>
      </c>
      <c r="I15" s="220">
        <f>'Japan vs GB 1713-1870'!AP47</f>
        <v>8.864515160066512</v>
      </c>
      <c r="J15" s="258">
        <f t="shared" si="2"/>
        <v>0.24967247521791605</v>
      </c>
      <c r="K15" s="4" t="s">
        <v>274</v>
      </c>
    </row>
    <row r="16" spans="1:11" x14ac:dyDescent="0.2">
      <c r="A16" s="4">
        <v>1870</v>
      </c>
      <c r="B16" s="283">
        <f>'Japan vs GB 1713-1870'!AT41</f>
        <v>627.1138521604156</v>
      </c>
      <c r="C16" s="286">
        <f>'Japan vs GB 1713-1870'!AV41</f>
        <v>359.81133713423009</v>
      </c>
      <c r="D16" s="258">
        <f t="shared" si="0"/>
        <v>1.7428963110366544</v>
      </c>
      <c r="E16" s="283">
        <f>'Japan vs GB 1713-1870'!AT46</f>
        <v>1524.6510250657968</v>
      </c>
      <c r="F16" s="209">
        <f>'Japan vs GB 1713-1870'!AV46</f>
        <v>4527.3945351807415</v>
      </c>
      <c r="G16" s="208">
        <f t="shared" si="1"/>
        <v>0.33676124605847502</v>
      </c>
      <c r="H16" s="221">
        <f>'Japan vs GB 1713-1870'!AT47</f>
        <v>2.4312188605200693</v>
      </c>
      <c r="I16" s="221">
        <f>'Japan vs GB 1713-1870'!AV47</f>
        <v>12.582690059851465</v>
      </c>
      <c r="J16" s="258">
        <f t="shared" si="2"/>
        <v>0.19321932344797571</v>
      </c>
      <c r="K16" s="4" t="s">
        <v>274</v>
      </c>
    </row>
    <row r="17" spans="1:11" x14ac:dyDescent="0.2">
      <c r="B17" s="212" t="s">
        <v>306</v>
      </c>
      <c r="C17" s="212" t="s">
        <v>306</v>
      </c>
      <c r="D17" s="258"/>
      <c r="E17" s="212" t="s">
        <v>306</v>
      </c>
      <c r="F17" s="212" t="s">
        <v>306</v>
      </c>
      <c r="J17" s="257"/>
    </row>
    <row r="18" spans="1:11" x14ac:dyDescent="0.2">
      <c r="A18" s="4">
        <v>1888</v>
      </c>
      <c r="B18" s="223">
        <f>'Japan vs GB 1888-1912'!Q40</f>
        <v>1.0506078876634153</v>
      </c>
      <c r="C18" s="223">
        <f>'Japan vs GB 1888-1912'!S40</f>
        <v>2.1006594819672815</v>
      </c>
      <c r="D18" s="258">
        <f>B18/C18</f>
        <v>0.50013240921822988</v>
      </c>
      <c r="E18" s="224">
        <f>'Japan vs GB 1888-1912'!P45</f>
        <v>3.5074491791669331</v>
      </c>
      <c r="F18" s="224">
        <f>'Japan vs GB 1888-1912'!S45</f>
        <v>35.726823984146939</v>
      </c>
      <c r="G18" s="208">
        <f>E18/F18</f>
        <v>9.8174110878797766E-2</v>
      </c>
      <c r="H18" s="225">
        <f>'Japan vs GB 1888-1912'!P46</f>
        <v>3.3384949992785695</v>
      </c>
      <c r="I18" s="225">
        <f>'Japan vs GB 1888-1912'!S46</f>
        <v>17.007432328198444</v>
      </c>
      <c r="J18" s="258">
        <f>H18/I18</f>
        <v>0.19629623889452855</v>
      </c>
      <c r="K18" s="4" t="s">
        <v>201</v>
      </c>
    </row>
    <row r="19" spans="1:11" x14ac:dyDescent="0.2">
      <c r="A19" s="4">
        <v>1912</v>
      </c>
      <c r="B19" s="226">
        <f>'Japan vs GB 1888-1912'!W40</f>
        <v>2.0963482386270416</v>
      </c>
      <c r="C19" s="226">
        <f>'Japan vs GB 1888-1912'!Y40</f>
        <v>2.4177477244320573</v>
      </c>
      <c r="D19" s="258">
        <f>B19/C19</f>
        <v>0.86706657499573725</v>
      </c>
      <c r="E19" s="227">
        <f>'Japan vs GB 1888-1912'!W45</f>
        <v>9.1345839631469392</v>
      </c>
      <c r="F19" s="227">
        <f>'Japan vs GB 1888-1912'!Y45</f>
        <v>50.077466475402282</v>
      </c>
      <c r="G19" s="208">
        <f>E19/F19</f>
        <v>0.1824090675121072</v>
      </c>
      <c r="H19" s="226">
        <f>'Japan vs GB 1888-1912'!W46</f>
        <v>4.3573790817929368</v>
      </c>
      <c r="I19" s="226">
        <f>'Japan vs GB 1888-1912'!Y46</f>
        <v>20.712444879734409</v>
      </c>
      <c r="J19" s="258">
        <f>H19/I19</f>
        <v>0.21037492710753375</v>
      </c>
      <c r="K19" s="4" t="s">
        <v>274</v>
      </c>
    </row>
    <row r="20" spans="1:11" x14ac:dyDescent="0.2">
      <c r="C20" s="4"/>
      <c r="D20" s="4"/>
    </row>
    <row r="21" spans="1:11" x14ac:dyDescent="0.2">
      <c r="C21" s="4"/>
      <c r="D21" s="4"/>
    </row>
    <row r="22" spans="1:11" ht="18" x14ac:dyDescent="0.2">
      <c r="B22" s="233" t="s">
        <v>244</v>
      </c>
      <c r="C22" s="205"/>
      <c r="D22" s="205"/>
      <c r="E22" s="206"/>
      <c r="F22" s="206"/>
      <c r="G22" s="206"/>
      <c r="H22" s="206"/>
      <c r="I22" s="206"/>
      <c r="J22" s="206"/>
    </row>
    <row r="23" spans="1:11" s="68" customFormat="1" ht="18" x14ac:dyDescent="0.2">
      <c r="B23" s="237"/>
      <c r="C23" s="55"/>
      <c r="D23" s="55"/>
    </row>
    <row r="24" spans="1:11" x14ac:dyDescent="0.2">
      <c r="D24" s="207" t="s">
        <v>336</v>
      </c>
      <c r="E24" s="211" t="s">
        <v>245</v>
      </c>
    </row>
    <row r="25" spans="1:11" x14ac:dyDescent="0.2">
      <c r="B25" s="207" t="s">
        <v>138</v>
      </c>
      <c r="C25" s="207" t="s">
        <v>38</v>
      </c>
      <c r="D25" s="215">
        <v>2000</v>
      </c>
      <c r="E25" s="211" t="s">
        <v>199</v>
      </c>
      <c r="F25" s="211" t="s">
        <v>307</v>
      </c>
    </row>
    <row r="26" spans="1:11" x14ac:dyDescent="0.2">
      <c r="B26" s="207" t="s">
        <v>29</v>
      </c>
      <c r="C26" s="207" t="s">
        <v>137</v>
      </c>
      <c r="D26" s="195" t="s">
        <v>241</v>
      </c>
      <c r="E26" s="211" t="s">
        <v>200</v>
      </c>
      <c r="F26" s="211" t="s">
        <v>396</v>
      </c>
    </row>
    <row r="27" spans="1:11" x14ac:dyDescent="0.2">
      <c r="A27" s="29">
        <v>730</v>
      </c>
      <c r="B27" s="216"/>
      <c r="C27" s="207">
        <v>56.585467194180175</v>
      </c>
      <c r="D27" s="207"/>
      <c r="E27" s="211"/>
    </row>
    <row r="28" spans="1:11" x14ac:dyDescent="0.2">
      <c r="A28" s="30">
        <v>1000</v>
      </c>
      <c r="B28" s="216">
        <v>106.26666666666667</v>
      </c>
      <c r="C28" s="207"/>
      <c r="D28" s="207"/>
      <c r="E28" s="211"/>
    </row>
    <row r="29" spans="1:11" x14ac:dyDescent="0.2">
      <c r="A29" s="30">
        <v>1150</v>
      </c>
      <c r="B29" s="216"/>
      <c r="C29" s="207">
        <v>72.882162304028114</v>
      </c>
      <c r="D29" s="207"/>
      <c r="E29" s="211"/>
    </row>
    <row r="30" spans="1:11" x14ac:dyDescent="0.2">
      <c r="A30" s="30">
        <v>1280</v>
      </c>
      <c r="B30" s="216"/>
      <c r="C30" s="207">
        <v>77.798638666902022</v>
      </c>
      <c r="D30" s="207"/>
      <c r="E30" s="211"/>
    </row>
    <row r="31" spans="1:11" x14ac:dyDescent="0.2">
      <c r="A31" s="30">
        <v>1450</v>
      </c>
      <c r="B31" s="216"/>
      <c r="C31" s="207">
        <v>48.949515220718084</v>
      </c>
      <c r="D31" s="207"/>
      <c r="E31" s="211"/>
    </row>
    <row r="32" spans="1:11" x14ac:dyDescent="0.2">
      <c r="A32" s="30">
        <v>1500</v>
      </c>
      <c r="B32" s="216">
        <v>70.017761989342816</v>
      </c>
      <c r="C32" s="207"/>
      <c r="D32" s="207"/>
      <c r="E32" s="211"/>
    </row>
    <row r="33" spans="1:10" x14ac:dyDescent="0.2">
      <c r="A33" s="4">
        <v>1600</v>
      </c>
      <c r="B33" s="207">
        <v>53.411020476111204</v>
      </c>
      <c r="C33" s="207">
        <v>53.035922950313882</v>
      </c>
      <c r="D33" s="207"/>
      <c r="E33" s="211"/>
      <c r="F33" s="278">
        <f>100*J10</f>
        <v>34.397854681855442</v>
      </c>
    </row>
    <row r="34" spans="1:10" x14ac:dyDescent="0.2">
      <c r="A34" s="4">
        <v>1650</v>
      </c>
      <c r="B34" s="207"/>
      <c r="C34" s="207">
        <v>60.408886737578541</v>
      </c>
      <c r="D34" s="207"/>
      <c r="E34" s="211"/>
      <c r="F34" s="278">
        <f>100*J11</f>
        <v>42.0851490993266</v>
      </c>
    </row>
    <row r="35" spans="1:10" x14ac:dyDescent="0.2">
      <c r="A35" s="4">
        <v>1700</v>
      </c>
      <c r="B35" s="207">
        <v>45.58829022317677</v>
      </c>
      <c r="C35" s="207">
        <v>41.574781534872876</v>
      </c>
      <c r="D35" s="207"/>
      <c r="E35" s="211"/>
    </row>
    <row r="36" spans="1:10" x14ac:dyDescent="0.2">
      <c r="A36" s="4">
        <v>1713</v>
      </c>
      <c r="B36" s="207"/>
      <c r="C36" s="207"/>
      <c r="D36" s="207"/>
      <c r="E36" s="211"/>
      <c r="F36" s="230">
        <f>100*J12</f>
        <v>28.314538397934864</v>
      </c>
    </row>
    <row r="37" spans="1:10" x14ac:dyDescent="0.2">
      <c r="A37" s="4">
        <v>1750</v>
      </c>
      <c r="B37" s="207"/>
      <c r="C37" s="207">
        <v>35.27588516700169</v>
      </c>
      <c r="D37" s="207"/>
      <c r="E37" s="211"/>
      <c r="F37" s="230">
        <f>100*J13</f>
        <v>24.624454091437791</v>
      </c>
    </row>
    <row r="38" spans="1:10" x14ac:dyDescent="0.2">
      <c r="A38" s="4">
        <v>1800</v>
      </c>
      <c r="B38" s="207"/>
      <c r="C38" s="207">
        <v>30.571664660461977</v>
      </c>
      <c r="D38" s="207"/>
      <c r="E38" s="211"/>
      <c r="F38" s="230">
        <f>100*J14</f>
        <v>21.418638390969814</v>
      </c>
    </row>
    <row r="39" spans="1:10" x14ac:dyDescent="0.2">
      <c r="A39" s="4">
        <v>1820</v>
      </c>
      <c r="B39" s="207">
        <v>39.216413667476267</v>
      </c>
      <c r="C39" s="207"/>
      <c r="D39" s="207"/>
      <c r="E39" s="211"/>
      <c r="F39" s="211"/>
    </row>
    <row r="40" spans="1:10" x14ac:dyDescent="0.2">
      <c r="A40" s="4">
        <v>1850</v>
      </c>
      <c r="B40" s="207">
        <v>29.142269939376714</v>
      </c>
      <c r="C40" s="207">
        <v>29.235815751741274</v>
      </c>
      <c r="D40" s="207"/>
      <c r="E40" s="211"/>
      <c r="F40" s="230">
        <f>100*J15</f>
        <v>24.967247521791606</v>
      </c>
    </row>
    <row r="41" spans="1:10" x14ac:dyDescent="0.2">
      <c r="A41" s="4">
        <v>1870</v>
      </c>
      <c r="B41" s="207">
        <v>23.112074856921772</v>
      </c>
      <c r="C41" s="207">
        <v>23.112074856921776</v>
      </c>
      <c r="D41" s="207"/>
      <c r="E41" s="211"/>
      <c r="F41" s="230">
        <f>100*J16</f>
        <v>19.32193234479757</v>
      </c>
    </row>
    <row r="42" spans="1:10" x14ac:dyDescent="0.2">
      <c r="A42" s="4">
        <v>1880</v>
      </c>
      <c r="B42" s="207">
        <v>24.829338878329423</v>
      </c>
      <c r="C42" s="207">
        <v>24.829338878329398</v>
      </c>
      <c r="D42" s="207">
        <v>29.346620000000001</v>
      </c>
      <c r="E42" s="229">
        <v>9.2889908256880727</v>
      </c>
      <c r="F42" s="211"/>
    </row>
    <row r="43" spans="1:10" x14ac:dyDescent="0.2">
      <c r="A43" s="4">
        <v>1888</v>
      </c>
      <c r="B43" s="207">
        <v>23.371578517364952</v>
      </c>
      <c r="C43" s="207">
        <v>23.371578517364899</v>
      </c>
      <c r="D43" s="212">
        <v>32.665207008686068</v>
      </c>
      <c r="E43" s="229">
        <v>11.221697728447189</v>
      </c>
      <c r="F43" s="231">
        <f>100*J18</f>
        <v>19.629623889452855</v>
      </c>
    </row>
    <row r="44" spans="1:10" x14ac:dyDescent="0.2">
      <c r="A44" s="4">
        <v>1900</v>
      </c>
      <c r="B44" s="207">
        <v>26.259175248515515</v>
      </c>
      <c r="C44" s="207">
        <v>26.259175248515497</v>
      </c>
      <c r="D44" s="207">
        <v>36.532170000000001</v>
      </c>
      <c r="E44" s="229">
        <v>12.026002166847237</v>
      </c>
      <c r="F44" s="211"/>
    </row>
    <row r="45" spans="1:10" x14ac:dyDescent="0.2">
      <c r="A45" s="4">
        <v>1912</v>
      </c>
      <c r="B45" s="207">
        <v>28.181611204159736</v>
      </c>
      <c r="C45" s="207">
        <v>29.0666957065785</v>
      </c>
      <c r="D45" s="218">
        <v>43.624135425352478</v>
      </c>
      <c r="E45" s="229">
        <v>17.738</v>
      </c>
      <c r="F45" s="231">
        <f>100*J19</f>
        <v>21.037492710753376</v>
      </c>
    </row>
    <row r="48" spans="1:10" ht="18" x14ac:dyDescent="0.2">
      <c r="B48" s="234" t="s">
        <v>123</v>
      </c>
      <c r="C48" s="235"/>
      <c r="D48" s="235"/>
      <c r="E48" s="236"/>
      <c r="F48" s="236"/>
      <c r="G48" s="236"/>
      <c r="H48" s="236"/>
      <c r="I48" s="236"/>
      <c r="J48" s="236"/>
    </row>
    <row r="49" spans="1:6" x14ac:dyDescent="0.2">
      <c r="B49" s="195" t="s">
        <v>122</v>
      </c>
    </row>
    <row r="51" spans="1:6" x14ac:dyDescent="0.2">
      <c r="B51" s="195"/>
      <c r="C51" s="195"/>
      <c r="D51" s="231" t="s">
        <v>336</v>
      </c>
      <c r="E51" s="211" t="s">
        <v>245</v>
      </c>
      <c r="F51" s="4" t="s">
        <v>124</v>
      </c>
    </row>
    <row r="52" spans="1:6" x14ac:dyDescent="0.2">
      <c r="B52" s="231" t="s">
        <v>138</v>
      </c>
      <c r="C52" s="231" t="s">
        <v>38</v>
      </c>
      <c r="D52" s="215">
        <v>2000</v>
      </c>
      <c r="E52" s="211" t="s">
        <v>199</v>
      </c>
      <c r="F52" s="4" t="s">
        <v>125</v>
      </c>
    </row>
    <row r="53" spans="1:6" x14ac:dyDescent="0.2">
      <c r="B53" s="231" t="s">
        <v>29</v>
      </c>
      <c r="C53" s="231" t="s">
        <v>137</v>
      </c>
      <c r="D53" s="195" t="s">
        <v>241</v>
      </c>
      <c r="E53" s="211" t="s">
        <v>200</v>
      </c>
      <c r="F53" s="4" t="s">
        <v>126</v>
      </c>
    </row>
    <row r="54" spans="1:6" x14ac:dyDescent="0.2">
      <c r="A54" s="4">
        <v>1929</v>
      </c>
      <c r="B54" s="231">
        <v>36.809333202613097</v>
      </c>
      <c r="C54" s="231">
        <v>36.809333202613097</v>
      </c>
      <c r="D54" s="239">
        <f>100*0.412/0.774</f>
        <v>53.229974160206709</v>
      </c>
      <c r="E54" s="239">
        <f>100*0.149/0.594</f>
        <v>25.084175084175083</v>
      </c>
    </row>
    <row r="55" spans="1:6" x14ac:dyDescent="0.2">
      <c r="A55" s="4">
        <v>1938</v>
      </c>
      <c r="B55" s="231">
        <v>39.085513501234111</v>
      </c>
      <c r="C55" s="231">
        <v>39.085513501234111</v>
      </c>
      <c r="D55" s="239">
        <f>100*0.44/0.898</f>
        <v>48.997772828507792</v>
      </c>
      <c r="E55" s="239">
        <f>100*0.136/0.877</f>
        <v>15.507411630558725</v>
      </c>
    </row>
    <row r="56" spans="1:6" x14ac:dyDescent="0.2">
      <c r="A56" s="4">
        <v>1950</v>
      </c>
      <c r="B56" s="231">
        <v>27.678587772766296</v>
      </c>
      <c r="C56" s="231">
        <v>27.678587772766296</v>
      </c>
      <c r="D56" s="239">
        <f>100*0.289/0.616</f>
        <v>46.915584415584412</v>
      </c>
      <c r="E56" s="239">
        <f>100*0.069/0.378</f>
        <v>18.253968253968253</v>
      </c>
      <c r="F56" s="238">
        <v>29.983682333851959</v>
      </c>
    </row>
    <row r="57" spans="1:6" x14ac:dyDescent="0.2">
      <c r="A57" s="4">
        <v>1960</v>
      </c>
      <c r="B57" s="231">
        <v>46.111355726113707</v>
      </c>
      <c r="C57" s="231">
        <v>46.111355726113715</v>
      </c>
      <c r="D57" s="239">
        <f>100*0.418/0.664</f>
        <v>62.951807228915655</v>
      </c>
      <c r="E57" s="239">
        <f>100*0.165/0.48</f>
        <v>34.375</v>
      </c>
      <c r="F57" s="238">
        <v>47.69546219394978</v>
      </c>
    </row>
    <row r="58" spans="1:6" x14ac:dyDescent="0.2">
      <c r="A58" s="4">
        <v>1970</v>
      </c>
      <c r="B58" s="231">
        <v>90.215711453586863</v>
      </c>
      <c r="C58" s="231">
        <v>90.215711453586863</v>
      </c>
      <c r="D58" s="239">
        <f>100*0.611/0.671</f>
        <v>91.058122205663182</v>
      </c>
      <c r="E58" s="239">
        <f>100*0.392/0.448</f>
        <v>87.5</v>
      </c>
      <c r="F58" s="238">
        <v>90.86140701137991</v>
      </c>
    </row>
    <row r="59" spans="1:6" x14ac:dyDescent="0.2">
      <c r="A59" s="4">
        <v>1980</v>
      </c>
      <c r="B59" s="231">
        <v>103.83744338430579</v>
      </c>
      <c r="C59" s="231">
        <v>103.83744338430579</v>
      </c>
      <c r="D59" s="239">
        <f>100*0.785/0.766</f>
        <v>102.48041775456919</v>
      </c>
      <c r="E59" s="239">
        <f>100*0.758/0.803</f>
        <v>94.396014943960139</v>
      </c>
      <c r="F59" s="238">
        <v>104.31913392698371</v>
      </c>
    </row>
    <row r="60" spans="1:6" x14ac:dyDescent="0.2">
      <c r="A60" s="4">
        <v>1990</v>
      </c>
      <c r="B60" s="231">
        <v>114.35892542041179</v>
      </c>
      <c r="C60" s="231">
        <v>114.35893046195611</v>
      </c>
      <c r="D60" s="239">
        <f>100*0.9/0.793</f>
        <v>113.49306431273644</v>
      </c>
      <c r="E60" s="239">
        <f>100*1.097/0.783</f>
        <v>140.10217113665388</v>
      </c>
      <c r="F60" s="238">
        <v>116.90284850339387</v>
      </c>
    </row>
    <row r="61" spans="1:6" x14ac:dyDescent="0.2">
      <c r="A61" s="4">
        <v>2000</v>
      </c>
      <c r="B61" s="231">
        <v>101.89032973547114</v>
      </c>
      <c r="C61" s="231">
        <v>97.316467413565107</v>
      </c>
      <c r="D61" s="239"/>
      <c r="E61" s="239"/>
      <c r="F61" s="238">
        <v>98.791437262114215</v>
      </c>
    </row>
    <row r="62" spans="1:6" x14ac:dyDescent="0.2">
      <c r="A62" s="4">
        <v>2008</v>
      </c>
      <c r="B62" s="231">
        <v>96.095784851710491</v>
      </c>
      <c r="C62" s="231">
        <v>90.134964704284371</v>
      </c>
      <c r="D62" s="239"/>
      <c r="E62" s="239"/>
      <c r="F62" s="238">
        <v>94.393241673455691</v>
      </c>
    </row>
    <row r="63" spans="1:6" x14ac:dyDescent="0.2">
      <c r="A63" s="4">
        <v>2010</v>
      </c>
      <c r="B63" s="231"/>
      <c r="C63" s="231">
        <v>92.252006988927675</v>
      </c>
      <c r="D63" s="239"/>
      <c r="E63" s="239"/>
      <c r="F63" s="238">
        <v>94.731499459048536</v>
      </c>
    </row>
  </sheetData>
  <phoneticPr fontId="1"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workbookViewId="0">
      <pane xSplit="6720" activePane="topRight"/>
      <selection activeCell="C1" sqref="C1"/>
      <selection pane="topRight" activeCell="K15" sqref="K15"/>
    </sheetView>
  </sheetViews>
  <sheetFormatPr baseColWidth="10" defaultColWidth="10.6640625" defaultRowHeight="16" x14ac:dyDescent="0.2"/>
  <cols>
    <col min="8" max="8" width="2.6640625" customWidth="1"/>
    <col min="14" max="14" width="2.6640625" customWidth="1"/>
    <col min="15" max="15" width="16.6640625" style="247" customWidth="1"/>
    <col min="16" max="16" width="10.6640625" style="4"/>
    <col min="17" max="17" width="17.5" style="4" customWidth="1"/>
    <col min="18" max="19" width="10.6640625" style="4"/>
    <col min="20" max="20" width="2.6640625" style="4" customWidth="1"/>
    <col min="21" max="21" width="17.1640625" style="4" customWidth="1"/>
    <col min="22" max="22" width="13.1640625" style="4" customWidth="1"/>
    <col min="23" max="23" width="17.6640625" style="4" customWidth="1"/>
    <col min="24" max="25" width="10.6640625" style="4"/>
  </cols>
  <sheetData>
    <row r="1" spans="1:25" ht="20" x14ac:dyDescent="0.2">
      <c r="A1" s="4"/>
      <c r="B1" s="4"/>
      <c r="C1" s="311" t="s">
        <v>348</v>
      </c>
      <c r="D1" s="4"/>
      <c r="E1" s="4"/>
      <c r="F1" s="4"/>
      <c r="G1" s="4"/>
      <c r="H1" s="4"/>
      <c r="I1" s="4"/>
      <c r="J1" s="4"/>
      <c r="K1" s="4"/>
      <c r="L1" s="4"/>
      <c r="M1" s="4"/>
    </row>
    <row r="2" spans="1:25" x14ac:dyDescent="0.2">
      <c r="A2" s="4"/>
      <c r="B2" s="4"/>
      <c r="C2" s="4"/>
      <c r="D2" s="4"/>
      <c r="E2" s="4"/>
      <c r="F2" s="4"/>
      <c r="G2" s="4"/>
      <c r="H2" s="4"/>
      <c r="I2" s="4"/>
      <c r="J2" s="4"/>
      <c r="K2" s="4"/>
      <c r="L2" s="4"/>
      <c r="M2" s="4"/>
    </row>
    <row r="3" spans="1:25" x14ac:dyDescent="0.2">
      <c r="A3" s="4"/>
      <c r="B3" s="4"/>
      <c r="C3" s="4"/>
      <c r="D3" s="4"/>
      <c r="E3" s="4"/>
      <c r="F3" s="4"/>
      <c r="G3" s="4"/>
      <c r="H3" s="4"/>
      <c r="I3" s="4"/>
      <c r="J3" s="4"/>
      <c r="K3" s="4"/>
      <c r="L3" s="4"/>
      <c r="M3" s="4"/>
    </row>
    <row r="4" spans="1:25" x14ac:dyDescent="0.2">
      <c r="A4" s="4"/>
      <c r="B4" s="1"/>
      <c r="C4" s="41" t="s">
        <v>5</v>
      </c>
      <c r="D4" s="1"/>
      <c r="E4" s="1"/>
      <c r="F4" s="1"/>
      <c r="G4" s="2"/>
      <c r="H4" s="2"/>
      <c r="I4" s="2"/>
      <c r="J4" s="161" t="s">
        <v>42</v>
      </c>
      <c r="K4" s="2"/>
      <c r="L4" s="2"/>
      <c r="M4" s="2"/>
    </row>
    <row r="5" spans="1:25" x14ac:dyDescent="0.2">
      <c r="A5" s="3"/>
      <c r="B5" s="3"/>
      <c r="C5" s="69" t="s">
        <v>322</v>
      </c>
      <c r="D5" s="3"/>
      <c r="E5" s="3"/>
      <c r="F5" s="5"/>
      <c r="G5" s="5"/>
      <c r="H5" s="5"/>
      <c r="I5" s="5"/>
      <c r="J5" s="164" t="s">
        <v>279</v>
      </c>
      <c r="K5" s="5"/>
      <c r="L5" s="5"/>
      <c r="M5" s="5"/>
    </row>
    <row r="6" spans="1:25" x14ac:dyDescent="0.2">
      <c r="A6" s="3"/>
      <c r="B6" s="3"/>
      <c r="C6" s="9" t="s">
        <v>82</v>
      </c>
      <c r="D6" s="6" t="s">
        <v>134</v>
      </c>
      <c r="E6" s="6" t="s">
        <v>134</v>
      </c>
      <c r="F6" s="44" t="s">
        <v>237</v>
      </c>
      <c r="G6" s="45"/>
      <c r="H6" s="3"/>
      <c r="I6" s="9"/>
      <c r="J6" s="9" t="s">
        <v>82</v>
      </c>
      <c r="K6" s="6"/>
      <c r="L6" s="106" t="s">
        <v>237</v>
      </c>
      <c r="M6" s="106"/>
      <c r="O6" s="244" t="s">
        <v>385</v>
      </c>
      <c r="P6" s="36"/>
      <c r="Q6" s="47"/>
      <c r="R6" s="7"/>
      <c r="S6" s="8"/>
      <c r="U6" s="60" t="s">
        <v>386</v>
      </c>
      <c r="V6" s="36"/>
      <c r="W6" s="47"/>
      <c r="X6" s="7"/>
      <c r="Y6" s="8"/>
    </row>
    <row r="7" spans="1:25" x14ac:dyDescent="0.2">
      <c r="A7" s="3"/>
      <c r="B7" s="3" t="s">
        <v>211</v>
      </c>
      <c r="C7" s="9" t="s">
        <v>83</v>
      </c>
      <c r="D7" s="10" t="s">
        <v>232</v>
      </c>
      <c r="E7" s="6" t="s">
        <v>212</v>
      </c>
      <c r="F7" s="3" t="s">
        <v>233</v>
      </c>
      <c r="G7" s="3" t="s">
        <v>325</v>
      </c>
      <c r="H7" s="3"/>
      <c r="I7" s="9"/>
      <c r="J7" s="9" t="s">
        <v>83</v>
      </c>
      <c r="K7" s="6"/>
      <c r="L7" s="3" t="s">
        <v>233</v>
      </c>
      <c r="M7" s="3" t="s">
        <v>325</v>
      </c>
      <c r="O7" s="245" t="s">
        <v>368</v>
      </c>
      <c r="P7" s="37" t="s">
        <v>369</v>
      </c>
      <c r="Q7" s="118" t="s">
        <v>370</v>
      </c>
      <c r="R7" s="11" t="s">
        <v>371</v>
      </c>
      <c r="S7" s="33" t="s">
        <v>372</v>
      </c>
      <c r="U7" s="118" t="s">
        <v>368</v>
      </c>
      <c r="V7" s="37" t="s">
        <v>369</v>
      </c>
      <c r="W7" s="118" t="s">
        <v>370</v>
      </c>
      <c r="X7" s="11" t="s">
        <v>371</v>
      </c>
      <c r="Y7" s="33" t="s">
        <v>372</v>
      </c>
    </row>
    <row r="8" spans="1:25" x14ac:dyDescent="0.2">
      <c r="A8" s="3" t="s">
        <v>214</v>
      </c>
      <c r="B8" s="3" t="s">
        <v>215</v>
      </c>
      <c r="C8" s="3">
        <v>0</v>
      </c>
      <c r="D8" s="11">
        <v>2450</v>
      </c>
      <c r="E8" s="12">
        <v>100</v>
      </c>
      <c r="F8" s="28">
        <f>$C8*D8/365</f>
        <v>0</v>
      </c>
      <c r="G8" s="28">
        <f>$C8*E8/365</f>
        <v>0</v>
      </c>
      <c r="H8" s="28"/>
      <c r="I8" s="3" t="s">
        <v>214</v>
      </c>
      <c r="J8" s="28">
        <v>0</v>
      </c>
      <c r="K8" s="28" t="s">
        <v>327</v>
      </c>
      <c r="L8" s="28">
        <v>0</v>
      </c>
      <c r="M8" s="28">
        <v>0</v>
      </c>
    </row>
    <row r="9" spans="1:25" x14ac:dyDescent="0.2">
      <c r="A9" s="14" t="s">
        <v>326</v>
      </c>
      <c r="B9" s="14" t="s">
        <v>327</v>
      </c>
      <c r="C9" s="14">
        <v>0</v>
      </c>
      <c r="D9" s="14">
        <v>3390</v>
      </c>
      <c r="E9" s="28">
        <v>137</v>
      </c>
      <c r="F9" s="28">
        <f t="shared" ref="F9:F29" si="0">C9*D9/365</f>
        <v>0</v>
      </c>
      <c r="G9" s="28">
        <f t="shared" ref="G9:G36" si="1">$C9*E9/365</f>
        <v>0</v>
      </c>
      <c r="H9" s="28"/>
      <c r="I9" s="14" t="s">
        <v>326</v>
      </c>
      <c r="J9" s="28">
        <v>0</v>
      </c>
      <c r="K9" s="28" t="s">
        <v>327</v>
      </c>
      <c r="L9" s="28">
        <v>0</v>
      </c>
      <c r="M9" s="28">
        <v>0</v>
      </c>
    </row>
    <row r="10" spans="1:25" x14ac:dyDescent="0.2">
      <c r="A10" s="15" t="s">
        <v>92</v>
      </c>
      <c r="B10" s="15" t="s">
        <v>327</v>
      </c>
      <c r="C10" s="14">
        <v>0</v>
      </c>
      <c r="D10" s="15">
        <v>3370</v>
      </c>
      <c r="E10" s="16">
        <v>88</v>
      </c>
      <c r="F10" s="28">
        <f t="shared" si="0"/>
        <v>0</v>
      </c>
      <c r="G10" s="28">
        <f t="shared" si="1"/>
        <v>0</v>
      </c>
      <c r="H10" s="28"/>
      <c r="I10" s="15" t="s">
        <v>92</v>
      </c>
      <c r="J10" s="28">
        <v>0</v>
      </c>
      <c r="K10" s="28" t="s">
        <v>327</v>
      </c>
      <c r="L10" s="28">
        <v>0</v>
      </c>
      <c r="M10" s="28">
        <v>0</v>
      </c>
    </row>
    <row r="11" spans="1:25" x14ac:dyDescent="0.2">
      <c r="A11" s="15" t="s">
        <v>93</v>
      </c>
      <c r="B11" s="15" t="s">
        <v>94</v>
      </c>
      <c r="C11" s="85">
        <v>10</v>
      </c>
      <c r="D11" s="15">
        <v>3370</v>
      </c>
      <c r="E11" s="16">
        <v>88</v>
      </c>
      <c r="F11" s="28">
        <f t="shared" si="0"/>
        <v>92.328767123287676</v>
      </c>
      <c r="G11" s="28">
        <f t="shared" si="1"/>
        <v>2.4109589041095889</v>
      </c>
      <c r="H11" s="28"/>
      <c r="I11" s="15" t="s">
        <v>93</v>
      </c>
      <c r="J11" s="28">
        <v>0</v>
      </c>
      <c r="K11" s="28" t="s">
        <v>327</v>
      </c>
      <c r="L11" s="28">
        <v>0</v>
      </c>
      <c r="M11" s="28">
        <v>0</v>
      </c>
      <c r="O11" s="252">
        <f>0.51*O17</f>
        <v>0.16838423202931413</v>
      </c>
      <c r="P11" s="239">
        <f>O11*$C11</f>
        <v>1.6838423202931412</v>
      </c>
      <c r="U11" s="252">
        <f>0.51*U17</f>
        <v>0.30097886009291158</v>
      </c>
      <c r="V11" s="239">
        <f>U11*$C11</f>
        <v>3.0097886009291157</v>
      </c>
    </row>
    <row r="12" spans="1:25" x14ac:dyDescent="0.2">
      <c r="A12" s="14" t="s">
        <v>28</v>
      </c>
      <c r="B12" s="14" t="s">
        <v>287</v>
      </c>
      <c r="C12" s="14">
        <v>0</v>
      </c>
      <c r="D12" s="18">
        <v>3901.9677419354839</v>
      </c>
      <c r="E12" s="16">
        <v>169.54838709677421</v>
      </c>
      <c r="F12" s="28">
        <f t="shared" si="0"/>
        <v>0</v>
      </c>
      <c r="G12" s="28">
        <f t="shared" si="1"/>
        <v>0</v>
      </c>
      <c r="H12" s="28"/>
      <c r="I12" s="82" t="s">
        <v>28</v>
      </c>
      <c r="J12" s="28">
        <v>164</v>
      </c>
      <c r="K12" s="28" t="s">
        <v>327</v>
      </c>
      <c r="L12" s="28">
        <f>$J12*D12/365</f>
        <v>1753.2129032258065</v>
      </c>
      <c r="M12" s="28">
        <f>$J12*E12/365</f>
        <v>76.180645161290329</v>
      </c>
      <c r="Q12" s="264">
        <v>0.43092767184366759</v>
      </c>
      <c r="R12" s="266">
        <f>Q12*$J12</f>
        <v>70.672138182361479</v>
      </c>
      <c r="U12" s="257"/>
      <c r="W12" s="264">
        <v>0.80237802485684939</v>
      </c>
      <c r="X12" s="266">
        <f>W12*$J12</f>
        <v>131.58999607652331</v>
      </c>
    </row>
    <row r="13" spans="1:25" x14ac:dyDescent="0.2">
      <c r="A13" s="14" t="s">
        <v>328</v>
      </c>
      <c r="B13" s="14" t="s">
        <v>327</v>
      </c>
      <c r="C13" s="14">
        <v>0</v>
      </c>
      <c r="D13" s="14">
        <f>3780*0.8</f>
        <v>3024</v>
      </c>
      <c r="E13" s="28">
        <v>110</v>
      </c>
      <c r="F13" s="28">
        <f t="shared" si="0"/>
        <v>0</v>
      </c>
      <c r="G13" s="28">
        <f t="shared" si="1"/>
        <v>0</v>
      </c>
      <c r="H13" s="28"/>
      <c r="I13" s="14" t="s">
        <v>328</v>
      </c>
      <c r="J13" s="28">
        <v>0</v>
      </c>
      <c r="K13" s="28" t="s">
        <v>327</v>
      </c>
      <c r="L13" s="28">
        <v>0</v>
      </c>
      <c r="M13" s="28">
        <v>0</v>
      </c>
      <c r="U13" s="257"/>
    </row>
    <row r="14" spans="1:25" x14ac:dyDescent="0.2">
      <c r="A14" s="14" t="s">
        <v>261</v>
      </c>
      <c r="B14" s="14" t="s">
        <v>327</v>
      </c>
      <c r="C14" s="14">
        <v>0</v>
      </c>
      <c r="D14" s="14">
        <v>3870</v>
      </c>
      <c r="E14" s="28"/>
      <c r="F14" s="28">
        <f t="shared" si="0"/>
        <v>0</v>
      </c>
      <c r="G14" s="28">
        <f t="shared" si="1"/>
        <v>0</v>
      </c>
      <c r="H14" s="28"/>
      <c r="I14" s="14" t="s">
        <v>261</v>
      </c>
      <c r="J14" s="28">
        <v>0</v>
      </c>
      <c r="K14" s="28" t="s">
        <v>327</v>
      </c>
      <c r="L14" s="28">
        <v>0</v>
      </c>
      <c r="M14" s="28">
        <v>0</v>
      </c>
      <c r="U14" s="257"/>
    </row>
    <row r="15" spans="1:25" x14ac:dyDescent="0.2">
      <c r="A15" s="14" t="s">
        <v>262</v>
      </c>
      <c r="B15" s="14" t="s">
        <v>327</v>
      </c>
      <c r="C15" s="14">
        <v>0</v>
      </c>
      <c r="D15" s="14">
        <v>3610</v>
      </c>
      <c r="E15" s="19"/>
      <c r="F15" s="19">
        <f t="shared" si="0"/>
        <v>0</v>
      </c>
      <c r="G15" s="19">
        <f t="shared" si="1"/>
        <v>0</v>
      </c>
      <c r="H15" s="19"/>
      <c r="I15" s="14" t="s">
        <v>262</v>
      </c>
      <c r="J15" s="28">
        <v>0</v>
      </c>
      <c r="K15" s="28" t="s">
        <v>327</v>
      </c>
      <c r="L15" s="28">
        <v>0</v>
      </c>
      <c r="M15" s="28">
        <v>0</v>
      </c>
      <c r="U15" s="257"/>
    </row>
    <row r="16" spans="1:25" x14ac:dyDescent="0.2">
      <c r="A16" s="14" t="s">
        <v>147</v>
      </c>
      <c r="B16" s="14" t="s">
        <v>327</v>
      </c>
      <c r="C16" s="85">
        <v>16</v>
      </c>
      <c r="D16" s="14">
        <v>3370</v>
      </c>
      <c r="E16" s="19">
        <v>108</v>
      </c>
      <c r="F16" s="19">
        <f t="shared" si="0"/>
        <v>147.72602739726028</v>
      </c>
      <c r="G16" s="19">
        <f t="shared" si="1"/>
        <v>4.7342465753424658</v>
      </c>
      <c r="H16" s="19"/>
      <c r="I16" s="14" t="s">
        <v>147</v>
      </c>
      <c r="J16" s="28">
        <v>0</v>
      </c>
      <c r="K16" s="28" t="s">
        <v>327</v>
      </c>
      <c r="L16" s="28">
        <v>0</v>
      </c>
      <c r="M16" s="28">
        <v>0</v>
      </c>
      <c r="O16" s="247">
        <f>0.41*O17</f>
        <v>0.13536771594513489</v>
      </c>
      <c r="P16" s="239">
        <f>O16*$C16</f>
        <v>2.1658834551221582</v>
      </c>
      <c r="U16" s="257">
        <f>0.41*U17</f>
        <v>0.24196339732959557</v>
      </c>
      <c r="V16" s="239">
        <f>U16*$C16</f>
        <v>3.8714143572735291</v>
      </c>
    </row>
    <row r="17" spans="1:25" x14ac:dyDescent="0.2">
      <c r="A17" s="14" t="s">
        <v>263</v>
      </c>
      <c r="B17" s="14" t="s">
        <v>327</v>
      </c>
      <c r="C17" s="85">
        <v>113.6</v>
      </c>
      <c r="D17" s="14">
        <v>3510</v>
      </c>
      <c r="E17" s="19">
        <v>75</v>
      </c>
      <c r="F17" s="19">
        <f t="shared" si="0"/>
        <v>1092.4273972602739</v>
      </c>
      <c r="G17" s="19">
        <f t="shared" si="1"/>
        <v>23.342465753424658</v>
      </c>
      <c r="H17" s="19"/>
      <c r="I17" s="14" t="s">
        <v>263</v>
      </c>
      <c r="J17" s="19">
        <v>0</v>
      </c>
      <c r="K17" s="28" t="s">
        <v>327</v>
      </c>
      <c r="L17" s="28">
        <v>0</v>
      </c>
      <c r="M17" s="28">
        <v>0</v>
      </c>
      <c r="O17" s="247">
        <v>0.33016516084179243</v>
      </c>
      <c r="P17" s="239">
        <f>O17*$C17</f>
        <v>37.506762271627615</v>
      </c>
      <c r="U17" s="256">
        <v>0.59015462763315996</v>
      </c>
      <c r="V17" s="239">
        <f>U17*$C17</f>
        <v>67.041565699126963</v>
      </c>
    </row>
    <row r="18" spans="1:25" x14ac:dyDescent="0.2">
      <c r="A18" s="14" t="s">
        <v>115</v>
      </c>
      <c r="B18" s="14" t="s">
        <v>327</v>
      </c>
      <c r="C18" s="14">
        <v>0</v>
      </c>
      <c r="D18" s="14">
        <v>3640</v>
      </c>
      <c r="E18" s="19"/>
      <c r="F18" s="19">
        <f t="shared" si="0"/>
        <v>0</v>
      </c>
      <c r="G18" s="19">
        <f t="shared" si="1"/>
        <v>0</v>
      </c>
      <c r="H18" s="19"/>
      <c r="I18" s="14" t="s">
        <v>115</v>
      </c>
      <c r="J18" s="19">
        <v>0</v>
      </c>
      <c r="K18" s="28" t="s">
        <v>327</v>
      </c>
      <c r="L18" s="28">
        <v>0</v>
      </c>
      <c r="M18" s="28">
        <v>0</v>
      </c>
    </row>
    <row r="19" spans="1:25" x14ac:dyDescent="0.2">
      <c r="A19" s="14" t="s">
        <v>148</v>
      </c>
      <c r="B19" s="14" t="s">
        <v>236</v>
      </c>
      <c r="C19" s="85">
        <v>52</v>
      </c>
      <c r="D19" s="14">
        <v>3920</v>
      </c>
      <c r="E19" s="19">
        <v>343</v>
      </c>
      <c r="F19" s="19">
        <f t="shared" si="0"/>
        <v>558.46575342465758</v>
      </c>
      <c r="G19" s="19">
        <f t="shared" si="1"/>
        <v>48.865753424657534</v>
      </c>
      <c r="H19" s="19"/>
      <c r="I19" s="14" t="s">
        <v>148</v>
      </c>
      <c r="J19" s="19">
        <v>0</v>
      </c>
      <c r="K19" s="28" t="s">
        <v>327</v>
      </c>
      <c r="L19" s="28">
        <v>0</v>
      </c>
      <c r="M19" s="28">
        <v>0</v>
      </c>
      <c r="O19" s="247">
        <v>0.21471965562228132</v>
      </c>
      <c r="P19" s="239">
        <f>O19*$C19</f>
        <v>11.165422092358629</v>
      </c>
      <c r="U19" s="262">
        <v>0.59893906728669821</v>
      </c>
      <c r="V19" s="239">
        <f>U19*$C19</f>
        <v>31.144831498908307</v>
      </c>
    </row>
    <row r="20" spans="1:25" x14ac:dyDescent="0.2">
      <c r="A20" s="14" t="s">
        <v>49</v>
      </c>
      <c r="B20" s="14" t="s">
        <v>116</v>
      </c>
      <c r="C20" s="85">
        <v>4</v>
      </c>
      <c r="D20" s="14">
        <v>1125</v>
      </c>
      <c r="E20" s="19">
        <v>71</v>
      </c>
      <c r="F20" s="19">
        <f t="shared" si="0"/>
        <v>12.328767123287671</v>
      </c>
      <c r="G20" s="19">
        <f t="shared" si="1"/>
        <v>0.77808219178082194</v>
      </c>
      <c r="H20" s="19"/>
      <c r="I20" s="82" t="s">
        <v>49</v>
      </c>
      <c r="J20" s="19">
        <f>20*1.0684</f>
        <v>21.368000000000002</v>
      </c>
      <c r="K20" s="14" t="s">
        <v>64</v>
      </c>
      <c r="L20" s="28">
        <f>$J20*D20/365</f>
        <v>65.860273972602755</v>
      </c>
      <c r="M20" s="28">
        <f>$J20*E20/365</f>
        <v>4.1565150684931513</v>
      </c>
      <c r="O20" s="262">
        <f>0.63*O17</f>
        <v>0.20800405133032923</v>
      </c>
      <c r="P20" s="239">
        <f>O20*$C20</f>
        <v>0.83201620532131693</v>
      </c>
      <c r="Q20" s="265">
        <v>0.25031147028852019</v>
      </c>
      <c r="R20" s="266">
        <f>Q20*$J20</f>
        <v>5.3486554971251001</v>
      </c>
      <c r="S20" s="269">
        <f>O20/Q20</f>
        <v>0.83098090187626827</v>
      </c>
      <c r="U20" s="262">
        <f>0.63*U17</f>
        <v>0.37179741540889077</v>
      </c>
      <c r="V20" s="239">
        <f>U20*$C20</f>
        <v>1.4871896616355631</v>
      </c>
      <c r="W20" s="265">
        <v>0.41291635518104697</v>
      </c>
      <c r="X20" s="266">
        <f>W20*$J20</f>
        <v>8.8231966775086121</v>
      </c>
      <c r="Y20" s="269">
        <f>U20/W20</f>
        <v>0.90041823421083134</v>
      </c>
    </row>
    <row r="21" spans="1:25" x14ac:dyDescent="0.2">
      <c r="A21" s="14" t="s">
        <v>50</v>
      </c>
      <c r="B21" s="14" t="s">
        <v>327</v>
      </c>
      <c r="C21" s="14">
        <v>0</v>
      </c>
      <c r="D21" s="14">
        <v>2500</v>
      </c>
      <c r="E21" s="19">
        <v>200</v>
      </c>
      <c r="F21" s="32">
        <f t="shared" si="0"/>
        <v>0</v>
      </c>
      <c r="G21" s="19">
        <f t="shared" si="1"/>
        <v>0</v>
      </c>
      <c r="H21" s="19"/>
      <c r="I21" s="82" t="s">
        <v>295</v>
      </c>
      <c r="J21" s="19">
        <f>5*1.0684</f>
        <v>5.3420000000000005</v>
      </c>
      <c r="K21" s="19" t="s">
        <v>327</v>
      </c>
      <c r="L21" s="28">
        <f>$J21*D21/365</f>
        <v>36.589041095890416</v>
      </c>
      <c r="M21" s="28">
        <f>$J21*E21/365</f>
        <v>2.927123287671233</v>
      </c>
      <c r="Q21" s="267">
        <v>2.1527914684488678</v>
      </c>
      <c r="R21" s="266">
        <f>Q21*$J21</f>
        <v>11.500212024453853</v>
      </c>
      <c r="W21" s="267">
        <v>3.4699852979176145</v>
      </c>
      <c r="X21" s="266">
        <f>W21*$J21</f>
        <v>18.536661461475898</v>
      </c>
    </row>
    <row r="22" spans="1:25" x14ac:dyDescent="0.2">
      <c r="A22" s="14" t="s">
        <v>51</v>
      </c>
      <c r="B22" s="14" t="s">
        <v>327</v>
      </c>
      <c r="C22" s="85">
        <v>3.5</v>
      </c>
      <c r="D22" s="14">
        <v>1050</v>
      </c>
      <c r="E22" s="19">
        <v>181</v>
      </c>
      <c r="F22" s="32">
        <f t="shared" si="0"/>
        <v>10.068493150684931</v>
      </c>
      <c r="G22" s="19">
        <f t="shared" si="1"/>
        <v>1.7356164383561643</v>
      </c>
      <c r="H22" s="19"/>
      <c r="I22" s="14" t="s">
        <v>51</v>
      </c>
      <c r="J22" s="19">
        <v>0</v>
      </c>
      <c r="K22" s="19"/>
      <c r="L22" s="19">
        <v>0</v>
      </c>
      <c r="M22" s="19">
        <v>0</v>
      </c>
      <c r="O22" s="247">
        <f>(2.18/1.7842)*O19</f>
        <v>0.26235223027495419</v>
      </c>
      <c r="P22" s="239">
        <f>O22*$C22</f>
        <v>0.91823280596233969</v>
      </c>
      <c r="U22" s="257">
        <f>(2.18/1.7842)*U19</f>
        <v>0.73180538430949571</v>
      </c>
      <c r="V22" s="239">
        <f>U22*$C22</f>
        <v>2.5613188450832349</v>
      </c>
    </row>
    <row r="23" spans="1:25" x14ac:dyDescent="0.2">
      <c r="A23" s="14" t="s">
        <v>146</v>
      </c>
      <c r="B23" s="14" t="s">
        <v>112</v>
      </c>
      <c r="C23" s="85">
        <v>1</v>
      </c>
      <c r="D23" s="14">
        <v>1553</v>
      </c>
      <c r="E23" s="19">
        <v>0</v>
      </c>
      <c r="F23" s="19">
        <f t="shared" si="0"/>
        <v>4.2547945205479456</v>
      </c>
      <c r="G23" s="19">
        <f t="shared" si="1"/>
        <v>0</v>
      </c>
      <c r="H23" s="19"/>
      <c r="I23" s="14" t="s">
        <v>146</v>
      </c>
      <c r="J23" s="19">
        <v>0</v>
      </c>
      <c r="K23" s="14" t="s">
        <v>64</v>
      </c>
      <c r="L23" s="19">
        <v>0</v>
      </c>
      <c r="M23" s="19">
        <v>0</v>
      </c>
      <c r="O23" s="247">
        <v>0.43516583421567595</v>
      </c>
      <c r="P23" s="239">
        <f>O23*$C23</f>
        <v>0.43516583421567595</v>
      </c>
      <c r="U23" s="263">
        <v>1.2472906076245489</v>
      </c>
      <c r="V23" s="239">
        <f>U23*$C23</f>
        <v>1.2472906076245489</v>
      </c>
    </row>
    <row r="24" spans="1:25" x14ac:dyDescent="0.2">
      <c r="A24" s="14" t="s">
        <v>52</v>
      </c>
      <c r="B24" s="14" t="s">
        <v>112</v>
      </c>
      <c r="C24" s="14">
        <v>0</v>
      </c>
      <c r="D24" s="18">
        <v>425.16483516483515</v>
      </c>
      <c r="E24" s="18">
        <v>4.0109890109890109</v>
      </c>
      <c r="F24" s="19">
        <f t="shared" si="0"/>
        <v>0</v>
      </c>
      <c r="G24" s="19">
        <f t="shared" si="1"/>
        <v>0</v>
      </c>
      <c r="H24" s="19"/>
      <c r="I24" s="14" t="s">
        <v>52</v>
      </c>
      <c r="J24" s="19">
        <v>0</v>
      </c>
      <c r="K24" s="14" t="s">
        <v>64</v>
      </c>
      <c r="L24" s="19">
        <v>0</v>
      </c>
      <c r="M24" s="19">
        <v>0</v>
      </c>
    </row>
    <row r="25" spans="1:25" x14ac:dyDescent="0.2">
      <c r="A25" s="14" t="s">
        <v>53</v>
      </c>
      <c r="B25" s="14" t="s">
        <v>112</v>
      </c>
      <c r="C25" s="85">
        <v>1</v>
      </c>
      <c r="D25" s="18">
        <v>8800</v>
      </c>
      <c r="E25" s="18">
        <v>0</v>
      </c>
      <c r="F25" s="19">
        <f t="shared" si="0"/>
        <v>24.109589041095891</v>
      </c>
      <c r="G25" s="19">
        <f t="shared" si="1"/>
        <v>0</v>
      </c>
      <c r="H25" s="19"/>
      <c r="I25" s="14" t="s">
        <v>53</v>
      </c>
      <c r="J25" s="19">
        <v>0</v>
      </c>
      <c r="K25" s="14" t="s">
        <v>64</v>
      </c>
      <c r="L25" s="19">
        <v>0</v>
      </c>
      <c r="M25" s="19">
        <v>0</v>
      </c>
      <c r="O25" s="247">
        <v>3.9129999999999998</v>
      </c>
      <c r="P25" s="239">
        <f>O25*$C25</f>
        <v>3.9129999999999998</v>
      </c>
      <c r="Q25" s="270">
        <f>Q34</f>
        <v>6.9659352859506996</v>
      </c>
      <c r="S25" s="269">
        <f>O25/Q25</f>
        <v>0.56173361355968443</v>
      </c>
      <c r="U25" s="263">
        <f>U34</f>
        <v>3.9497535908110719</v>
      </c>
      <c r="V25" s="239">
        <f>U25*$C25</f>
        <v>3.9497535908110719</v>
      </c>
      <c r="W25" s="270">
        <f>W34</f>
        <v>6.1990842402050976</v>
      </c>
      <c r="Y25" s="269">
        <f>U25/W25</f>
        <v>0.6371511400336114</v>
      </c>
    </row>
    <row r="26" spans="1:25" x14ac:dyDescent="0.2">
      <c r="A26" s="14" t="s">
        <v>117</v>
      </c>
      <c r="B26" s="14" t="s">
        <v>327</v>
      </c>
      <c r="C26" s="14">
        <v>0</v>
      </c>
      <c r="D26" s="14">
        <v>8760</v>
      </c>
      <c r="E26" s="18">
        <v>0</v>
      </c>
      <c r="F26" s="19">
        <f t="shared" si="0"/>
        <v>0</v>
      </c>
      <c r="G26" s="19">
        <f t="shared" si="1"/>
        <v>0</v>
      </c>
      <c r="H26" s="19"/>
      <c r="I26" s="14" t="s">
        <v>117</v>
      </c>
      <c r="J26" s="19">
        <v>0</v>
      </c>
      <c r="K26" s="19" t="s">
        <v>327</v>
      </c>
      <c r="L26" s="19">
        <v>0</v>
      </c>
      <c r="M26" s="19">
        <v>0</v>
      </c>
    </row>
    <row r="27" spans="1:25" x14ac:dyDescent="0.2">
      <c r="A27" s="14" t="s">
        <v>100</v>
      </c>
      <c r="B27" s="14" t="s">
        <v>101</v>
      </c>
      <c r="C27" s="14">
        <v>0</v>
      </c>
      <c r="D27" s="14">
        <v>7286</v>
      </c>
      <c r="E27" s="19">
        <v>7</v>
      </c>
      <c r="F27" s="19">
        <f t="shared" si="0"/>
        <v>0</v>
      </c>
      <c r="G27" s="19">
        <f t="shared" si="1"/>
        <v>0</v>
      </c>
      <c r="H27" s="19"/>
      <c r="I27" s="82" t="s">
        <v>100</v>
      </c>
      <c r="J27" s="19">
        <f>3*1.0684</f>
        <v>3.2052</v>
      </c>
      <c r="K27" s="19" t="s">
        <v>327</v>
      </c>
      <c r="L27" s="28">
        <f>$J27*D27/365</f>
        <v>63.981060821917815</v>
      </c>
      <c r="M27" s="28">
        <f>$J27*E27/365</f>
        <v>6.1469589041095889E-2</v>
      </c>
      <c r="Q27" s="268">
        <v>4.2351777215912367</v>
      </c>
      <c r="R27" s="266">
        <f>Q27*$J27</f>
        <v>13.574591633244232</v>
      </c>
      <c r="W27" s="268">
        <v>6.5756955791746039</v>
      </c>
      <c r="X27" s="266">
        <f>W27*$J27</f>
        <v>21.076419470370439</v>
      </c>
    </row>
    <row r="28" spans="1:25" x14ac:dyDescent="0.2">
      <c r="A28" s="14" t="s">
        <v>10</v>
      </c>
      <c r="B28" s="14" t="s">
        <v>327</v>
      </c>
      <c r="C28" s="14">
        <v>0</v>
      </c>
      <c r="D28" s="14">
        <v>3750</v>
      </c>
      <c r="E28" s="5">
        <v>214</v>
      </c>
      <c r="F28" s="19">
        <f t="shared" si="0"/>
        <v>0</v>
      </c>
      <c r="G28" s="19">
        <f t="shared" si="1"/>
        <v>0</v>
      </c>
      <c r="H28" s="19"/>
      <c r="I28" s="14" t="s">
        <v>10</v>
      </c>
      <c r="J28" s="19">
        <v>0</v>
      </c>
      <c r="K28" s="19" t="s">
        <v>327</v>
      </c>
      <c r="L28" s="19">
        <v>0</v>
      </c>
      <c r="M28" s="19">
        <v>0</v>
      </c>
    </row>
    <row r="29" spans="1:25" x14ac:dyDescent="0.2">
      <c r="A29" s="83" t="s">
        <v>11</v>
      </c>
      <c r="B29" s="83" t="s">
        <v>12</v>
      </c>
      <c r="C29" s="83">
        <v>0</v>
      </c>
      <c r="D29" s="83">
        <v>79</v>
      </c>
      <c r="E29" s="107">
        <v>6.25</v>
      </c>
      <c r="F29" s="108">
        <f t="shared" si="0"/>
        <v>0</v>
      </c>
      <c r="G29" s="108">
        <f t="shared" si="1"/>
        <v>0</v>
      </c>
      <c r="H29" s="19"/>
      <c r="I29" s="83" t="s">
        <v>11</v>
      </c>
      <c r="J29" s="108">
        <v>0</v>
      </c>
      <c r="K29" s="108" t="s">
        <v>108</v>
      </c>
      <c r="L29" s="108">
        <v>0</v>
      </c>
      <c r="M29" s="108">
        <v>0</v>
      </c>
      <c r="O29" s="255"/>
      <c r="P29" s="74"/>
      <c r="Q29" s="74"/>
      <c r="R29" s="74"/>
      <c r="S29" s="74"/>
      <c r="U29" s="74"/>
      <c r="V29" s="74"/>
      <c r="W29" s="74"/>
      <c r="X29" s="74"/>
      <c r="Y29" s="74"/>
    </row>
    <row r="30" spans="1:25" x14ac:dyDescent="0.2">
      <c r="A30" s="14" t="s">
        <v>193</v>
      </c>
      <c r="B30" s="14" t="s">
        <v>327</v>
      </c>
      <c r="C30" s="14">
        <v>0</v>
      </c>
      <c r="D30" s="3"/>
      <c r="E30" s="3"/>
      <c r="F30" s="3"/>
      <c r="G30" s="3"/>
      <c r="H30" s="3"/>
      <c r="I30" s="14" t="s">
        <v>193</v>
      </c>
      <c r="J30" s="14">
        <v>0</v>
      </c>
      <c r="K30" s="19" t="s">
        <v>327</v>
      </c>
      <c r="L30" s="19"/>
      <c r="M30" s="19"/>
    </row>
    <row r="31" spans="1:25" x14ac:dyDescent="0.2">
      <c r="A31" s="14" t="s">
        <v>149</v>
      </c>
      <c r="B31" s="14" t="s">
        <v>44</v>
      </c>
      <c r="C31" s="82">
        <v>5</v>
      </c>
      <c r="D31" s="3"/>
      <c r="E31" s="3"/>
      <c r="F31" s="3"/>
      <c r="G31" s="3"/>
      <c r="H31" s="3"/>
      <c r="I31" s="82" t="s">
        <v>149</v>
      </c>
      <c r="J31" s="14">
        <v>5</v>
      </c>
      <c r="K31" s="19" t="s">
        <v>109</v>
      </c>
      <c r="L31" s="19"/>
      <c r="M31" s="19"/>
      <c r="O31" s="247">
        <v>1.4150943396226414</v>
      </c>
      <c r="P31" s="239">
        <f>O31*$C31</f>
        <v>7.0754716981132066</v>
      </c>
      <c r="Q31" s="271">
        <v>4.3282293239224279</v>
      </c>
      <c r="R31" s="273">
        <f>Q31*C31</f>
        <v>21.64114661961214</v>
      </c>
      <c r="S31" s="274">
        <f>O31/Q31</f>
        <v>0.32694532422330663</v>
      </c>
      <c r="U31" s="253">
        <v>2.5804661487236404</v>
      </c>
      <c r="V31" s="239">
        <f>U31*$C31</f>
        <v>12.902330743618203</v>
      </c>
      <c r="W31" s="271">
        <v>4.387830690805874</v>
      </c>
      <c r="X31" s="272">
        <f>W31*C31</f>
        <v>21.93915345402937</v>
      </c>
      <c r="Y31" s="274">
        <f>U31/W31</f>
        <v>0.58809610729298878</v>
      </c>
    </row>
    <row r="32" spans="1:25" x14ac:dyDescent="0.2">
      <c r="A32" s="14" t="s">
        <v>13</v>
      </c>
      <c r="B32" s="14" t="s">
        <v>292</v>
      </c>
      <c r="C32" s="14">
        <v>0</v>
      </c>
      <c r="D32" s="3"/>
      <c r="E32" s="3"/>
      <c r="F32" s="3"/>
      <c r="G32" s="3"/>
      <c r="H32" s="3"/>
      <c r="I32" s="14" t="s">
        <v>13</v>
      </c>
      <c r="J32" s="14">
        <v>0</v>
      </c>
      <c r="K32" s="19" t="s">
        <v>109</v>
      </c>
      <c r="L32" s="19"/>
      <c r="M32" s="19"/>
    </row>
    <row r="33" spans="1:25" x14ac:dyDescent="0.2">
      <c r="A33" s="14" t="s">
        <v>256</v>
      </c>
      <c r="B33" s="14" t="s">
        <v>327</v>
      </c>
      <c r="C33" s="14">
        <v>0</v>
      </c>
      <c r="D33" s="3"/>
      <c r="E33" s="3"/>
      <c r="F33" s="3"/>
      <c r="G33" s="3"/>
      <c r="H33" s="3"/>
      <c r="I33" s="14" t="s">
        <v>256</v>
      </c>
      <c r="J33" s="14">
        <v>0</v>
      </c>
      <c r="K33" s="19" t="s">
        <v>327</v>
      </c>
      <c r="L33" s="19"/>
      <c r="M33" s="19"/>
    </row>
    <row r="34" spans="1:25" x14ac:dyDescent="0.2">
      <c r="A34" s="14" t="s">
        <v>257</v>
      </c>
      <c r="B34" s="14" t="s">
        <v>64</v>
      </c>
      <c r="C34" s="82">
        <v>2.6</v>
      </c>
      <c r="D34" s="3"/>
      <c r="E34" s="3"/>
      <c r="F34" s="3"/>
      <c r="G34" s="3"/>
      <c r="H34" s="3"/>
      <c r="I34" s="14" t="s">
        <v>257</v>
      </c>
      <c r="J34" s="14">
        <v>0</v>
      </c>
      <c r="K34" s="14" t="s">
        <v>64</v>
      </c>
      <c r="L34" s="19"/>
      <c r="M34" s="19"/>
      <c r="O34" s="247">
        <v>3.9129999999999998</v>
      </c>
      <c r="P34" s="239">
        <f>O34*$C34</f>
        <v>10.1738</v>
      </c>
      <c r="Q34" s="270">
        <v>6.9659352859506996</v>
      </c>
      <c r="R34" s="273">
        <f>Q34*C34</f>
        <v>18.111431743471819</v>
      </c>
      <c r="S34" s="269">
        <f>O34/Q34</f>
        <v>0.56173361355968443</v>
      </c>
      <c r="U34" s="263">
        <v>3.9497535908110719</v>
      </c>
      <c r="V34" s="239">
        <f>U34*$C34</f>
        <v>10.269359336108787</v>
      </c>
      <c r="W34" s="270">
        <v>6.1990842402050976</v>
      </c>
      <c r="X34" s="272">
        <f>W34*C34</f>
        <v>16.117619024533255</v>
      </c>
      <c r="Y34" s="269">
        <f>U34/W34</f>
        <v>0.6371511400336114</v>
      </c>
    </row>
    <row r="35" spans="1:25" x14ac:dyDescent="0.2">
      <c r="A35" s="14" t="s">
        <v>55</v>
      </c>
      <c r="B35" s="43" t="s">
        <v>258</v>
      </c>
      <c r="C35" s="14">
        <v>0</v>
      </c>
      <c r="D35" s="3"/>
      <c r="E35" s="3"/>
      <c r="F35" s="3"/>
      <c r="G35" s="3"/>
      <c r="H35" s="3"/>
      <c r="I35" s="83" t="s">
        <v>55</v>
      </c>
      <c r="J35" s="83">
        <v>0</v>
      </c>
      <c r="K35" s="108" t="s">
        <v>265</v>
      </c>
      <c r="L35" s="108"/>
      <c r="M35" s="108"/>
      <c r="O35" s="255"/>
      <c r="P35" s="74"/>
      <c r="Q35" s="74"/>
      <c r="R35" s="74"/>
      <c r="S35" s="74"/>
      <c r="U35" s="74"/>
      <c r="V35" s="74"/>
      <c r="W35" s="74"/>
      <c r="X35" s="74"/>
      <c r="Y35" s="74"/>
    </row>
    <row r="36" spans="1:25" x14ac:dyDescent="0.2">
      <c r="A36" s="3" t="s">
        <v>56</v>
      </c>
      <c r="B36" s="3" t="s">
        <v>327</v>
      </c>
      <c r="C36" s="14">
        <v>0</v>
      </c>
      <c r="D36" s="3">
        <v>3800</v>
      </c>
      <c r="E36" s="28">
        <v>0</v>
      </c>
      <c r="F36" s="28">
        <f>C36*D36/365</f>
        <v>0</v>
      </c>
      <c r="G36" s="28">
        <f t="shared" si="1"/>
        <v>0</v>
      </c>
      <c r="H36" s="28"/>
      <c r="I36" s="240" t="s">
        <v>56</v>
      </c>
      <c r="J36" s="186">
        <f>2*1.0684</f>
        <v>2.1368</v>
      </c>
      <c r="K36" s="3" t="s">
        <v>327</v>
      </c>
      <c r="L36" s="28">
        <f>$J36*D36/365</f>
        <v>22.246136986301369</v>
      </c>
      <c r="M36" s="28">
        <f>$J36*E36/365</f>
        <v>0</v>
      </c>
    </row>
    <row r="37" spans="1:25" x14ac:dyDescent="0.2">
      <c r="A37" s="3"/>
      <c r="B37" s="3"/>
      <c r="C37" s="3"/>
      <c r="D37" s="3"/>
      <c r="E37" s="3"/>
      <c r="F37" s="3"/>
      <c r="G37" s="3"/>
      <c r="H37" s="3"/>
      <c r="I37" s="3"/>
      <c r="J37" s="3"/>
      <c r="K37" s="3"/>
      <c r="L37" s="3"/>
      <c r="M37" s="3"/>
    </row>
    <row r="38" spans="1:25" x14ac:dyDescent="0.2">
      <c r="A38" s="181"/>
      <c r="B38" s="181"/>
      <c r="C38" s="22" t="s">
        <v>260</v>
      </c>
      <c r="D38" s="181"/>
      <c r="E38" s="181"/>
      <c r="F38" s="181">
        <f>SUM(F9:F36)</f>
        <v>1941.7095890410956</v>
      </c>
      <c r="G38" s="181">
        <f>SUM(G9:G36)</f>
        <v>81.867123287671234</v>
      </c>
      <c r="H38" s="181"/>
      <c r="I38" s="22" t="s">
        <v>260</v>
      </c>
      <c r="J38" s="181"/>
      <c r="K38" s="3"/>
      <c r="L38" s="241">
        <f>SUM(L9:L29)+L36</f>
        <v>1941.8894161025187</v>
      </c>
      <c r="M38" s="181">
        <f>SUM(M9:M36)</f>
        <v>83.32575310649581</v>
      </c>
    </row>
    <row r="39" spans="1:25" x14ac:dyDescent="0.2">
      <c r="I39" s="3" t="s">
        <v>243</v>
      </c>
      <c r="J39" s="3"/>
      <c r="K39" s="3"/>
      <c r="L39" s="3"/>
      <c r="M39" s="3"/>
    </row>
    <row r="40" spans="1:25" x14ac:dyDescent="0.2">
      <c r="I40" s="3" t="s">
        <v>351</v>
      </c>
      <c r="J40" s="3"/>
      <c r="K40" s="3"/>
      <c r="L40" s="3"/>
      <c r="M40" s="3"/>
    </row>
    <row r="41" spans="1:25" x14ac:dyDescent="0.2">
      <c r="I41" s="3" t="s">
        <v>349</v>
      </c>
    </row>
    <row r="42" spans="1:25" x14ac:dyDescent="0.2">
      <c r="I42" s="3" t="s">
        <v>350</v>
      </c>
      <c r="O42" s="246" t="s">
        <v>373</v>
      </c>
      <c r="P42" s="178" t="s">
        <v>374</v>
      </c>
      <c r="Q42" s="78"/>
      <c r="R42" s="121" t="s">
        <v>15</v>
      </c>
      <c r="S42" s="182" t="s">
        <v>375</v>
      </c>
      <c r="U42" s="120" t="s">
        <v>373</v>
      </c>
      <c r="V42" s="178" t="s">
        <v>374</v>
      </c>
      <c r="W42" s="78"/>
      <c r="X42" s="121" t="s">
        <v>15</v>
      </c>
      <c r="Y42" s="182" t="s">
        <v>375</v>
      </c>
    </row>
    <row r="43" spans="1:25" x14ac:dyDescent="0.2">
      <c r="O43" s="9" t="s">
        <v>449</v>
      </c>
      <c r="P43" s="239">
        <f>SUM(P11:P34)</f>
        <v>75.86959668301408</v>
      </c>
      <c r="Q43" s="78"/>
      <c r="R43" s="239">
        <f>SUM(R11:R34)</f>
        <v>140.84817570026863</v>
      </c>
      <c r="S43" s="274">
        <f>P43/R43</f>
        <v>0.5386622603083483</v>
      </c>
      <c r="V43" s="239">
        <f>SUM(V11:V34)</f>
        <v>137.48484294111933</v>
      </c>
      <c r="W43" s="78"/>
      <c r="X43" s="239">
        <f>SUM(X11:X34)</f>
        <v>218.08304616444087</v>
      </c>
      <c r="Y43" s="274">
        <f>V43/X43</f>
        <v>0.63042425974484884</v>
      </c>
    </row>
    <row r="44" spans="1:25" x14ac:dyDescent="0.2">
      <c r="O44" s="248"/>
      <c r="P44" s="239"/>
      <c r="Q44" s="78"/>
      <c r="R44" s="239"/>
      <c r="S44" s="239"/>
      <c r="U44" s="241"/>
      <c r="V44" s="239"/>
      <c r="W44" s="78"/>
      <c r="X44" s="239"/>
      <c r="Y44" s="239"/>
    </row>
    <row r="45" spans="1:25" x14ac:dyDescent="0.2">
      <c r="O45" s="249" t="s">
        <v>343</v>
      </c>
      <c r="P45" s="239">
        <v>42163.885766521562</v>
      </c>
      <c r="Q45" s="182" t="s">
        <v>344</v>
      </c>
      <c r="R45" s="239">
        <v>24.697908787294896</v>
      </c>
      <c r="S45" s="239"/>
      <c r="U45" s="182" t="s">
        <v>387</v>
      </c>
      <c r="V45" s="239">
        <v>56367.437976965251</v>
      </c>
      <c r="W45" s="182" t="s">
        <v>344</v>
      </c>
      <c r="X45" s="239">
        <v>41.56781038252533</v>
      </c>
      <c r="Y45" s="239"/>
    </row>
    <row r="46" spans="1:25" x14ac:dyDescent="0.2">
      <c r="O46" s="249" t="s">
        <v>388</v>
      </c>
      <c r="P46" s="239">
        <f>P45*150*O17/1000</f>
        <v>2088.1569188727831</v>
      </c>
      <c r="Q46" s="182" t="s">
        <v>46</v>
      </c>
      <c r="R46" s="239">
        <f>R45*111.38</f>
        <v>2750.8530807289053</v>
      </c>
      <c r="S46" s="239"/>
      <c r="U46" s="182" t="s">
        <v>388</v>
      </c>
      <c r="V46" s="239">
        <f>V45*150*U17/1000</f>
        <v>4989.8256554896743</v>
      </c>
      <c r="W46" s="182" t="s">
        <v>46</v>
      </c>
      <c r="X46" s="239">
        <f>X45*111.38</f>
        <v>4629.8227204056711</v>
      </c>
      <c r="Y46" s="239"/>
    </row>
    <row r="47" spans="1:25" x14ac:dyDescent="0.2">
      <c r="O47" s="249" t="s">
        <v>315</v>
      </c>
      <c r="P47" s="239">
        <f>17*(EXP(LN(21.8/17)/50)^2)</f>
        <v>17.169957661860732</v>
      </c>
      <c r="Q47" s="121" t="s">
        <v>315</v>
      </c>
      <c r="R47" s="242">
        <v>4.1910360377265912</v>
      </c>
      <c r="S47" s="239"/>
      <c r="U47" s="121" t="s">
        <v>315</v>
      </c>
      <c r="V47" s="239">
        <f>17*(EXP(LN(21.8/17)/50)^48)</f>
        <v>21.584211638634748</v>
      </c>
      <c r="W47" s="121" t="s">
        <v>315</v>
      </c>
      <c r="X47" s="242">
        <v>5.3134545272580489</v>
      </c>
      <c r="Y47" s="239"/>
    </row>
    <row r="48" spans="1:25" x14ac:dyDescent="0.2">
      <c r="O48" s="250" t="s">
        <v>316</v>
      </c>
      <c r="P48" s="239">
        <f>P46/P47</f>
        <v>121.61689387919473</v>
      </c>
      <c r="Q48" s="97" t="s">
        <v>316</v>
      </c>
      <c r="R48" s="243">
        <f>R46/R47</f>
        <v>656.36588565845238</v>
      </c>
      <c r="S48" s="274">
        <f>P48/R48</f>
        <v>0.18528826152686353</v>
      </c>
      <c r="U48" s="97" t="s">
        <v>316</v>
      </c>
      <c r="V48" s="239">
        <f>V46/V47</f>
        <v>231.1794259169566</v>
      </c>
      <c r="W48" s="97" t="s">
        <v>316</v>
      </c>
      <c r="X48" s="243">
        <f>X46/X47</f>
        <v>871.33948293989476</v>
      </c>
      <c r="Y48" s="274">
        <f>V48/X48</f>
        <v>0.26531498967194561</v>
      </c>
    </row>
    <row r="49" spans="1:28" x14ac:dyDescent="0.2">
      <c r="O49" s="250" t="s">
        <v>317</v>
      </c>
      <c r="P49" s="310">
        <f>P48/P43</f>
        <v>1.6029727215674352</v>
      </c>
      <c r="Q49" s="187" t="s">
        <v>317</v>
      </c>
      <c r="R49" s="275">
        <f>R48/R43</f>
        <v>4.6600950448604257</v>
      </c>
      <c r="S49" s="274">
        <f>P49/R49</f>
        <v>0.34397854681855439</v>
      </c>
      <c r="U49" s="187" t="s">
        <v>317</v>
      </c>
      <c r="V49" s="310">
        <f>V48/V43</f>
        <v>1.6814902717382736</v>
      </c>
      <c r="W49" s="187" t="s">
        <v>317</v>
      </c>
      <c r="X49" s="275">
        <f>X48/X43</f>
        <v>3.9954480564384625</v>
      </c>
      <c r="Y49" s="274">
        <f>V49/X49</f>
        <v>0.42085149099326596</v>
      </c>
    </row>
    <row r="50" spans="1:28" x14ac:dyDescent="0.2">
      <c r="P50" s="239"/>
      <c r="R50" s="239"/>
      <c r="S50" s="239"/>
    </row>
    <row r="51" spans="1:28" x14ac:dyDescent="0.2">
      <c r="P51" s="239"/>
    </row>
    <row r="52" spans="1:28" x14ac:dyDescent="0.2">
      <c r="A52" s="24" t="s">
        <v>288</v>
      </c>
      <c r="B52" s="25"/>
      <c r="C52" s="25"/>
      <c r="D52" s="25"/>
      <c r="E52" s="25"/>
      <c r="F52" s="25"/>
      <c r="G52" s="25"/>
      <c r="H52" s="25"/>
      <c r="I52" s="25"/>
      <c r="J52" s="25"/>
      <c r="K52" s="25"/>
      <c r="L52" s="25"/>
      <c r="M52" s="25"/>
      <c r="N52" s="26"/>
      <c r="O52" s="251"/>
      <c r="P52" s="40"/>
      <c r="Q52" s="62"/>
      <c r="R52" s="24" t="s">
        <v>363</v>
      </c>
      <c r="S52" s="25"/>
      <c r="T52" s="25"/>
      <c r="U52" s="63"/>
      <c r="V52" s="27"/>
      <c r="W52" s="63"/>
      <c r="X52" s="27"/>
      <c r="Y52" s="24" t="s">
        <v>363</v>
      </c>
      <c r="Z52" s="25"/>
      <c r="AA52" s="62"/>
      <c r="AB52" s="27"/>
    </row>
    <row r="53" spans="1:28" x14ac:dyDescent="0.2">
      <c r="Q53" s="4" t="s">
        <v>391</v>
      </c>
      <c r="R53" s="4" t="s">
        <v>68</v>
      </c>
      <c r="X53" s="4" t="s">
        <v>69</v>
      </c>
    </row>
    <row r="54" spans="1:28" x14ac:dyDescent="0.2">
      <c r="C54" t="s">
        <v>367</v>
      </c>
      <c r="O54" s="247" t="s">
        <v>382</v>
      </c>
      <c r="Q54" s="4" t="s">
        <v>61</v>
      </c>
      <c r="R54" s="4" t="s">
        <v>68</v>
      </c>
      <c r="W54" s="4" t="s">
        <v>7</v>
      </c>
      <c r="X54" s="4" t="s">
        <v>69</v>
      </c>
    </row>
    <row r="55" spans="1:28" x14ac:dyDescent="0.2">
      <c r="Q55" s="4" t="s">
        <v>391</v>
      </c>
      <c r="R55" s="4" t="s">
        <v>68</v>
      </c>
      <c r="X55" s="4" t="s">
        <v>69</v>
      </c>
    </row>
    <row r="56" spans="1:28" x14ac:dyDescent="0.2">
      <c r="O56" s="67" t="s">
        <v>399</v>
      </c>
      <c r="Q56" s="4" t="s">
        <v>391</v>
      </c>
      <c r="R56" s="4" t="s">
        <v>68</v>
      </c>
      <c r="X56" s="4" t="s">
        <v>69</v>
      </c>
    </row>
    <row r="57" spans="1:28" x14ac:dyDescent="0.2">
      <c r="Q57" s="4" t="s">
        <v>391</v>
      </c>
      <c r="R57" s="4" t="s">
        <v>68</v>
      </c>
      <c r="X57" s="4" t="s">
        <v>69</v>
      </c>
    </row>
    <row r="58" spans="1:28" x14ac:dyDescent="0.2">
      <c r="Q58" s="4" t="s">
        <v>391</v>
      </c>
      <c r="R58" s="4" t="s">
        <v>68</v>
      </c>
      <c r="X58" s="4" t="s">
        <v>69</v>
      </c>
    </row>
    <row r="59" spans="1:28" x14ac:dyDescent="0.2">
      <c r="O59" s="247" t="s">
        <v>394</v>
      </c>
      <c r="Q59" s="4" t="s">
        <v>391</v>
      </c>
      <c r="R59" s="4" t="s">
        <v>68</v>
      </c>
      <c r="X59" s="4" t="s">
        <v>69</v>
      </c>
    </row>
    <row r="60" spans="1:28" x14ac:dyDescent="0.2">
      <c r="O60" s="247" t="s">
        <v>395</v>
      </c>
      <c r="Q60" s="4" t="s">
        <v>391</v>
      </c>
      <c r="R60" s="4" t="s">
        <v>68</v>
      </c>
      <c r="X60" s="4" t="s">
        <v>69</v>
      </c>
    </row>
    <row r="61" spans="1:28" x14ac:dyDescent="0.2">
      <c r="O61" s="257" t="s">
        <v>67</v>
      </c>
      <c r="Q61" s="4" t="s">
        <v>391</v>
      </c>
      <c r="R61" s="4" t="s">
        <v>68</v>
      </c>
      <c r="X61" s="4" t="s">
        <v>69</v>
      </c>
    </row>
    <row r="62" spans="1:28" x14ac:dyDescent="0.2">
      <c r="Q62" s="4" t="s">
        <v>391</v>
      </c>
      <c r="R62" s="4" t="s">
        <v>68</v>
      </c>
      <c r="X62" s="4" t="s">
        <v>69</v>
      </c>
    </row>
    <row r="63" spans="1:28" x14ac:dyDescent="0.2">
      <c r="O63" s="247" t="s">
        <v>384</v>
      </c>
      <c r="Q63" s="4" t="s">
        <v>391</v>
      </c>
      <c r="R63" s="4" t="s">
        <v>68</v>
      </c>
    </row>
    <row r="64" spans="1:28" x14ac:dyDescent="0.2">
      <c r="Q64" s="4" t="s">
        <v>391</v>
      </c>
      <c r="R64" s="4" t="s">
        <v>68</v>
      </c>
    </row>
    <row r="65" spans="17:18" x14ac:dyDescent="0.2">
      <c r="Q65" s="4" t="s">
        <v>391</v>
      </c>
      <c r="R65" s="4" t="s">
        <v>68</v>
      </c>
    </row>
    <row r="66" spans="17:18" x14ac:dyDescent="0.2">
      <c r="Q66" s="4" t="s">
        <v>391</v>
      </c>
      <c r="R66" s="4" t="s">
        <v>68</v>
      </c>
    </row>
    <row r="67" spans="17:18" x14ac:dyDescent="0.2">
      <c r="Q67" s="4" t="s">
        <v>391</v>
      </c>
      <c r="R67" s="4" t="s">
        <v>68</v>
      </c>
    </row>
    <row r="68" spans="17:18" x14ac:dyDescent="0.2">
      <c r="Q68" s="4" t="s">
        <v>391</v>
      </c>
    </row>
    <row r="69" spans="17:18" x14ac:dyDescent="0.2">
      <c r="Q69" s="4" t="s">
        <v>391</v>
      </c>
    </row>
    <row r="70" spans="17:18" x14ac:dyDescent="0.2">
      <c r="Q70" s="4" t="s">
        <v>391</v>
      </c>
    </row>
    <row r="71" spans="17:18" x14ac:dyDescent="0.2">
      <c r="Q71" s="4" t="s">
        <v>391</v>
      </c>
    </row>
    <row r="72" spans="17:18" x14ac:dyDescent="0.2">
      <c r="Q72" s="4" t="s">
        <v>391</v>
      </c>
    </row>
    <row r="73" spans="17:18" x14ac:dyDescent="0.2">
      <c r="Q73" s="4" t="s">
        <v>391</v>
      </c>
    </row>
    <row r="74" spans="17:18" x14ac:dyDescent="0.2">
      <c r="Q74" s="4" t="s">
        <v>391</v>
      </c>
    </row>
    <row r="75" spans="17:18" x14ac:dyDescent="0.2">
      <c r="Q75" s="4" t="s">
        <v>391</v>
      </c>
    </row>
    <row r="76" spans="17:18" x14ac:dyDescent="0.2">
      <c r="Q76" s="4" t="s">
        <v>391</v>
      </c>
    </row>
    <row r="77" spans="17:18" x14ac:dyDescent="0.2">
      <c r="Q77" s="4" t="s">
        <v>391</v>
      </c>
    </row>
    <row r="78" spans="17:18" x14ac:dyDescent="0.2">
      <c r="Q78" s="4" t="s">
        <v>391</v>
      </c>
    </row>
    <row r="79" spans="17:18" x14ac:dyDescent="0.2">
      <c r="Q79" s="4" t="s">
        <v>391</v>
      </c>
    </row>
    <row r="80" spans="17:18" x14ac:dyDescent="0.2">
      <c r="Q80" s="4" t="s">
        <v>391</v>
      </c>
    </row>
  </sheetData>
  <phoneticPr fontId="1"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95"/>
  <sheetViews>
    <sheetView workbookViewId="0">
      <pane xSplit="8340" ySplit="2980" topLeftCell="AN35"/>
      <selection activeCell="F2" sqref="F2"/>
      <selection pane="topRight" activeCell="AS2" sqref="AS2:AW2"/>
      <selection pane="bottomLeft" activeCell="E42" sqref="E42"/>
      <selection pane="bottomRight" activeCell="F61" sqref="F61"/>
    </sheetView>
  </sheetViews>
  <sheetFormatPr baseColWidth="10" defaultColWidth="10.6640625" defaultRowHeight="16" x14ac:dyDescent="0.2"/>
  <cols>
    <col min="1" max="1" width="10.6640625" style="4"/>
    <col min="2" max="2" width="7.83203125" style="4" customWidth="1"/>
    <col min="3" max="3" width="10.6640625" style="4" customWidth="1"/>
    <col min="4" max="4" width="7.5" style="4" customWidth="1"/>
    <col min="5" max="6" width="7.83203125" style="4" customWidth="1"/>
    <col min="7" max="7" width="10.6640625" style="4"/>
    <col min="8" max="8" width="3.6640625" style="4" customWidth="1"/>
    <col min="9" max="9" width="10.6640625" style="4"/>
    <col min="10" max="10" width="8.1640625" style="4" customWidth="1"/>
    <col min="11" max="11" width="6.5" style="4" customWidth="1"/>
    <col min="12" max="12" width="8.33203125" style="4" customWidth="1"/>
    <col min="13" max="13" width="10.6640625" style="4"/>
    <col min="14" max="14" width="3.6640625" style="4" customWidth="1"/>
    <col min="15" max="16" width="11.83203125" style="4" customWidth="1"/>
    <col min="17" max="17" width="5.5" style="4" customWidth="1"/>
    <col min="18" max="18" width="8" style="4" customWidth="1"/>
    <col min="19" max="19" width="10.83203125" style="4" customWidth="1"/>
    <col min="20" max="20" width="3.6640625" style="4" customWidth="1"/>
    <col min="21" max="21" width="19" style="56" customWidth="1"/>
    <col min="22" max="22" width="11" style="35" customWidth="1"/>
    <col min="23" max="23" width="18.5" style="4" customWidth="1"/>
    <col min="24" max="25" width="10.83203125" style="4" customWidth="1"/>
    <col min="26" max="26" width="3.6640625" style="4" customWidth="1"/>
    <col min="27" max="27" width="19.33203125" style="56" customWidth="1"/>
    <col min="28" max="28" width="12.5" style="4" customWidth="1"/>
    <col min="29" max="29" width="18.6640625" style="46" customWidth="1"/>
    <col min="30" max="31" width="10.6640625" style="4"/>
    <col min="32" max="32" width="3.6640625" style="4" customWidth="1"/>
    <col min="33" max="33" width="18.5" style="56" customWidth="1"/>
    <col min="34" max="34" width="10.6640625" style="4"/>
    <col min="35" max="35" width="19.1640625" style="46" customWidth="1"/>
    <col min="36" max="37" width="10.6640625" style="4"/>
    <col min="38" max="38" width="3.6640625" style="4" customWidth="1"/>
    <col min="39" max="39" width="15.33203125" style="56" customWidth="1"/>
    <col min="40" max="40" width="13.1640625" style="4" customWidth="1"/>
    <col min="41" max="41" width="18.33203125" style="46" customWidth="1"/>
    <col min="42" max="42" width="9.5" style="4" customWidth="1"/>
    <col min="43" max="43" width="10.6640625" style="4"/>
    <col min="44" max="44" width="3.6640625" style="4" customWidth="1"/>
    <col min="45" max="45" width="14.33203125" style="56" customWidth="1"/>
    <col min="46" max="46" width="12.6640625" style="4" customWidth="1"/>
    <col min="47" max="47" width="18.1640625" style="46" customWidth="1"/>
    <col min="48" max="16384" width="10.6640625" style="4"/>
  </cols>
  <sheetData>
    <row r="1" spans="1:51" ht="20" x14ac:dyDescent="0.2">
      <c r="C1" s="103" t="s">
        <v>139</v>
      </c>
      <c r="V1" s="78"/>
      <c r="W1" s="254"/>
      <c r="X1" s="254"/>
      <c r="AC1" s="4"/>
    </row>
    <row r="2" spans="1:51" x14ac:dyDescent="0.2">
      <c r="U2" s="312">
        <v>1713</v>
      </c>
      <c r="V2" s="313"/>
      <c r="W2" s="313"/>
      <c r="X2" s="313"/>
      <c r="Y2" s="314">
        <v>1713</v>
      </c>
      <c r="AA2" s="312">
        <v>1750</v>
      </c>
      <c r="AB2" s="201"/>
      <c r="AC2" s="313"/>
      <c r="AD2" s="201"/>
      <c r="AE2" s="314">
        <v>1750</v>
      </c>
      <c r="AG2" s="312">
        <v>1800</v>
      </c>
      <c r="AH2" s="201"/>
      <c r="AI2" s="313"/>
      <c r="AJ2" s="201"/>
      <c r="AK2" s="314">
        <v>1800</v>
      </c>
      <c r="AM2" s="312">
        <v>1850</v>
      </c>
      <c r="AN2" s="201"/>
      <c r="AO2" s="313"/>
      <c r="AP2" s="201"/>
      <c r="AQ2" s="314">
        <v>1850</v>
      </c>
      <c r="AS2" s="312">
        <v>1870</v>
      </c>
      <c r="AT2" s="201"/>
      <c r="AU2" s="313"/>
      <c r="AV2" s="201"/>
      <c r="AW2" s="314">
        <v>1870</v>
      </c>
    </row>
    <row r="3" spans="1:51" x14ac:dyDescent="0.2">
      <c r="B3" s="68"/>
      <c r="C3" s="68"/>
      <c r="D3" s="68"/>
      <c r="E3" s="68"/>
      <c r="F3" s="68"/>
      <c r="G3" s="68"/>
      <c r="I3" s="293" t="s">
        <v>458</v>
      </c>
      <c r="J3" s="294"/>
      <c r="K3" s="294"/>
      <c r="L3" s="294"/>
      <c r="M3" s="294"/>
      <c r="P3" s="161" t="s">
        <v>42</v>
      </c>
      <c r="U3" s="254"/>
      <c r="V3" s="254"/>
      <c r="W3" s="67" t="s">
        <v>376</v>
      </c>
      <c r="AA3" s="4"/>
      <c r="AC3" s="4"/>
      <c r="AG3" s="4"/>
      <c r="AI3" s="4"/>
      <c r="AM3" s="4"/>
      <c r="AO3" s="4"/>
      <c r="AS3" s="4"/>
      <c r="AU3" s="4"/>
    </row>
    <row r="4" spans="1:51" x14ac:dyDescent="0.2">
      <c r="B4" s="2"/>
      <c r="C4" s="41" t="s">
        <v>5</v>
      </c>
      <c r="D4" s="2"/>
      <c r="E4" s="2"/>
      <c r="F4" s="2"/>
      <c r="G4" s="2"/>
      <c r="H4" s="2"/>
      <c r="I4" s="295" t="s">
        <v>43</v>
      </c>
      <c r="J4" s="294"/>
      <c r="K4" s="296"/>
      <c r="L4" s="296"/>
      <c r="M4" s="296"/>
      <c r="O4" s="2"/>
      <c r="P4" s="164" t="s">
        <v>416</v>
      </c>
      <c r="Q4" s="2"/>
      <c r="R4" s="2"/>
      <c r="S4" s="2"/>
      <c r="U4" s="254"/>
      <c r="V4" s="254"/>
      <c r="W4" s="161" t="s">
        <v>42</v>
      </c>
      <c r="AI4" s="121" t="s">
        <v>450</v>
      </c>
      <c r="AO4" s="121" t="s">
        <v>450</v>
      </c>
      <c r="AS4" s="76" t="s">
        <v>103</v>
      </c>
    </row>
    <row r="5" spans="1:51" x14ac:dyDescent="0.2">
      <c r="A5" s="3"/>
      <c r="B5" s="5"/>
      <c r="C5" s="298" t="s">
        <v>322</v>
      </c>
      <c r="D5" s="5"/>
      <c r="E5" s="5"/>
      <c r="F5" s="5"/>
      <c r="G5" s="5"/>
      <c r="H5" s="5"/>
      <c r="I5" s="293" t="s">
        <v>321</v>
      </c>
      <c r="J5" s="294"/>
      <c r="K5" s="297"/>
      <c r="L5" s="297"/>
      <c r="M5" s="297"/>
      <c r="O5" s="5"/>
      <c r="Q5" s="5"/>
      <c r="R5" s="5"/>
      <c r="S5" s="5"/>
      <c r="W5" s="164" t="s">
        <v>448</v>
      </c>
      <c r="AA5" s="261" t="s">
        <v>390</v>
      </c>
      <c r="AI5" s="121" t="s">
        <v>451</v>
      </c>
      <c r="AO5" s="121" t="s">
        <v>452</v>
      </c>
    </row>
    <row r="6" spans="1:51" x14ac:dyDescent="0.2">
      <c r="A6" s="3"/>
      <c r="B6" s="3"/>
      <c r="C6" s="9" t="s">
        <v>82</v>
      </c>
      <c r="D6" s="6" t="s">
        <v>134</v>
      </c>
      <c r="E6" s="6" t="s">
        <v>134</v>
      </c>
      <c r="F6" s="44" t="s">
        <v>237</v>
      </c>
      <c r="G6" s="45"/>
      <c r="H6" s="3"/>
      <c r="I6" s="3"/>
      <c r="J6" s="9" t="s">
        <v>82</v>
      </c>
      <c r="K6" s="3"/>
      <c r="L6" s="44" t="s">
        <v>237</v>
      </c>
      <c r="M6" s="45"/>
      <c r="O6" s="9"/>
      <c r="P6" s="9" t="s">
        <v>82</v>
      </c>
      <c r="Q6" s="6"/>
      <c r="R6" s="106" t="s">
        <v>237</v>
      </c>
      <c r="S6" s="106"/>
      <c r="U6" s="60" t="s">
        <v>264</v>
      </c>
      <c r="V6" s="36"/>
      <c r="W6" s="47"/>
      <c r="X6" s="7"/>
      <c r="Y6" s="8"/>
      <c r="AA6" s="60" t="s">
        <v>172</v>
      </c>
      <c r="AB6" s="7"/>
      <c r="AC6" s="47"/>
      <c r="AD6" s="7"/>
      <c r="AE6" s="8"/>
      <c r="AG6" s="60" t="s">
        <v>180</v>
      </c>
      <c r="AH6" s="7"/>
      <c r="AI6" s="47"/>
      <c r="AJ6" s="7"/>
      <c r="AK6" s="8"/>
      <c r="AM6" s="316" t="s">
        <v>185</v>
      </c>
      <c r="AN6" s="317"/>
      <c r="AO6" s="317"/>
      <c r="AP6" s="317"/>
      <c r="AQ6" s="318"/>
      <c r="AS6" s="316" t="s">
        <v>186</v>
      </c>
      <c r="AT6" s="317"/>
      <c r="AU6" s="317"/>
      <c r="AV6" s="317"/>
      <c r="AW6" s="318"/>
    </row>
    <row r="7" spans="1:51" x14ac:dyDescent="0.2">
      <c r="A7" s="3"/>
      <c r="B7" s="3" t="s">
        <v>211</v>
      </c>
      <c r="C7" s="9" t="s">
        <v>83</v>
      </c>
      <c r="D7" s="10" t="s">
        <v>232</v>
      </c>
      <c r="E7" s="6" t="s">
        <v>212</v>
      </c>
      <c r="F7" s="3" t="s">
        <v>233</v>
      </c>
      <c r="G7" s="3" t="s">
        <v>325</v>
      </c>
      <c r="H7" s="3"/>
      <c r="I7" s="3"/>
      <c r="J7" s="9" t="s">
        <v>83</v>
      </c>
      <c r="K7" s="3"/>
      <c r="L7" s="9" t="s">
        <v>233</v>
      </c>
      <c r="M7" s="9" t="s">
        <v>325</v>
      </c>
      <c r="O7" s="9"/>
      <c r="P7" s="9" t="s">
        <v>83</v>
      </c>
      <c r="Q7" s="6"/>
      <c r="R7" s="3" t="s">
        <v>233</v>
      </c>
      <c r="S7" s="3" t="s">
        <v>325</v>
      </c>
      <c r="U7" s="118" t="s">
        <v>407</v>
      </c>
      <c r="V7" s="37" t="s">
        <v>213</v>
      </c>
      <c r="W7" s="118" t="s">
        <v>30</v>
      </c>
      <c r="X7" s="11" t="s">
        <v>31</v>
      </c>
      <c r="Y7" s="33" t="s">
        <v>84</v>
      </c>
      <c r="AA7" s="118" t="s">
        <v>331</v>
      </c>
      <c r="AB7" s="11" t="s">
        <v>213</v>
      </c>
      <c r="AC7" s="48" t="s">
        <v>23</v>
      </c>
      <c r="AD7" s="11" t="s">
        <v>31</v>
      </c>
      <c r="AE7" s="33" t="s">
        <v>84</v>
      </c>
      <c r="AG7" s="61" t="s">
        <v>119</v>
      </c>
      <c r="AH7" s="11" t="s">
        <v>213</v>
      </c>
      <c r="AI7" s="48" t="s">
        <v>30</v>
      </c>
      <c r="AJ7" s="11" t="s">
        <v>31</v>
      </c>
      <c r="AK7" s="33" t="s">
        <v>84</v>
      </c>
      <c r="AM7" s="61" t="s">
        <v>119</v>
      </c>
      <c r="AN7" s="9" t="s">
        <v>181</v>
      </c>
      <c r="AO7" s="50" t="s">
        <v>182</v>
      </c>
      <c r="AP7" s="9" t="s">
        <v>183</v>
      </c>
      <c r="AQ7" s="33" t="s">
        <v>184</v>
      </c>
      <c r="AS7" s="61" t="s">
        <v>119</v>
      </c>
      <c r="AT7" s="9" t="s">
        <v>181</v>
      </c>
      <c r="AU7" s="50" t="s">
        <v>182</v>
      </c>
      <c r="AV7" s="9" t="s">
        <v>183</v>
      </c>
      <c r="AW7" s="33" t="s">
        <v>184</v>
      </c>
    </row>
    <row r="8" spans="1:51" x14ac:dyDescent="0.2">
      <c r="A8" s="3" t="s">
        <v>214</v>
      </c>
      <c r="B8" s="3" t="s">
        <v>215</v>
      </c>
      <c r="C8" s="3">
        <v>0</v>
      </c>
      <c r="D8" s="11">
        <v>2450</v>
      </c>
      <c r="E8" s="12">
        <v>100</v>
      </c>
      <c r="F8" s="13">
        <f>$C8*D8/365</f>
        <v>0</v>
      </c>
      <c r="G8" s="13">
        <f>$C8*E8/365</f>
        <v>0</v>
      </c>
      <c r="H8" s="28"/>
      <c r="I8" s="3" t="s">
        <v>214</v>
      </c>
      <c r="J8" s="84">
        <v>182</v>
      </c>
      <c r="K8" s="28" t="s">
        <v>327</v>
      </c>
      <c r="L8" s="28">
        <v>1223.1397260273973</v>
      </c>
      <c r="M8" s="28">
        <v>49.863013698630134</v>
      </c>
      <c r="O8" s="3" t="s">
        <v>214</v>
      </c>
      <c r="P8" s="28">
        <v>0</v>
      </c>
      <c r="Q8" s="28" t="s">
        <v>327</v>
      </c>
      <c r="R8" s="28">
        <v>0</v>
      </c>
      <c r="S8" s="28">
        <v>0</v>
      </c>
      <c r="W8" s="254">
        <f>(111.4*6.64/240)*2.20463/4</f>
        <v>1.6987041588333334</v>
      </c>
      <c r="X8" s="254"/>
      <c r="AA8" s="4"/>
      <c r="AB8" s="35"/>
      <c r="AC8" s="46">
        <v>1.37</v>
      </c>
      <c r="AD8" s="72"/>
      <c r="AI8" s="56">
        <f>(111.4*10.367/240)*2.20463/4</f>
        <v>2.6521786166604167</v>
      </c>
      <c r="AJ8" s="87"/>
      <c r="AO8" s="56">
        <f>(111.4*8.176/240)*2.20463/4</f>
        <v>2.0916574100333332</v>
      </c>
      <c r="AP8" s="87"/>
      <c r="AU8" s="56">
        <f>(111.4*8/240)*2.20463/4</f>
        <v>2.0466315166666664</v>
      </c>
      <c r="AV8" s="87"/>
    </row>
    <row r="9" spans="1:51" x14ac:dyDescent="0.2">
      <c r="A9" s="14" t="s">
        <v>326</v>
      </c>
      <c r="B9" s="14" t="s">
        <v>327</v>
      </c>
      <c r="C9" s="14">
        <v>0</v>
      </c>
      <c r="D9" s="14">
        <v>3390</v>
      </c>
      <c r="E9" s="13">
        <v>137</v>
      </c>
      <c r="F9" s="13">
        <f t="shared" ref="F9:F24" si="0">C9*D9/365</f>
        <v>0</v>
      </c>
      <c r="G9" s="13">
        <f t="shared" ref="G9:G36" si="1">$C9*E9/365</f>
        <v>0</v>
      </c>
      <c r="H9" s="28"/>
      <c r="I9" s="14" t="s">
        <v>326</v>
      </c>
      <c r="J9" s="28">
        <v>0</v>
      </c>
      <c r="K9" s="28" t="s">
        <v>327</v>
      </c>
      <c r="L9" s="28">
        <v>0</v>
      </c>
      <c r="M9" s="28">
        <v>0</v>
      </c>
      <c r="O9" s="14" t="s">
        <v>326</v>
      </c>
      <c r="P9" s="28">
        <v>0</v>
      </c>
      <c r="Q9" s="28" t="s">
        <v>327</v>
      </c>
      <c r="R9" s="28">
        <v>0</v>
      </c>
      <c r="S9" s="28">
        <v>0</v>
      </c>
      <c r="W9" s="254"/>
      <c r="X9" s="254"/>
      <c r="AA9" s="4"/>
      <c r="AB9" s="35"/>
    </row>
    <row r="10" spans="1:51" s="17" customFormat="1" x14ac:dyDescent="0.2">
      <c r="A10" s="15" t="s">
        <v>92</v>
      </c>
      <c r="B10" s="15" t="s">
        <v>327</v>
      </c>
      <c r="C10" s="14">
        <v>0</v>
      </c>
      <c r="D10" s="15">
        <v>3370</v>
      </c>
      <c r="E10" s="16">
        <v>88</v>
      </c>
      <c r="F10" s="13">
        <f t="shared" ref="F10:F11" si="2">C10*D10/365</f>
        <v>0</v>
      </c>
      <c r="G10" s="13">
        <f t="shared" ref="G10:G11" si="3">$C10*E10/365</f>
        <v>0</v>
      </c>
      <c r="H10" s="28"/>
      <c r="I10" s="15" t="s">
        <v>92</v>
      </c>
      <c r="J10" s="28">
        <v>0</v>
      </c>
      <c r="K10" s="28" t="s">
        <v>327</v>
      </c>
      <c r="L10" s="28"/>
      <c r="M10" s="28"/>
      <c r="O10" s="15" t="s">
        <v>92</v>
      </c>
      <c r="P10" s="28">
        <v>0</v>
      </c>
      <c r="Q10" s="28" t="s">
        <v>327</v>
      </c>
      <c r="R10" s="28">
        <v>0</v>
      </c>
      <c r="S10" s="28">
        <v>0</v>
      </c>
      <c r="U10" s="58">
        <f>U11</f>
        <v>0.29529</v>
      </c>
      <c r="W10" s="77">
        <v>1.0897203412543377</v>
      </c>
      <c r="X10" s="254"/>
      <c r="Y10" s="280">
        <f>U10/W10</f>
        <v>0.27097778101499176</v>
      </c>
      <c r="AA10" s="58">
        <f>0.51*AA17</f>
        <v>0.18206999999999998</v>
      </c>
      <c r="AB10" s="38"/>
      <c r="AC10" s="49">
        <v>0.79168385705001354</v>
      </c>
      <c r="AE10" s="80">
        <f>AA10/AC10</f>
        <v>0.22997816411014424</v>
      </c>
      <c r="AG10" s="58">
        <f>AG11</f>
        <v>0.20651883333333332</v>
      </c>
      <c r="AI10" s="49">
        <v>2.029029295592224</v>
      </c>
      <c r="AK10" s="80">
        <f>AG10/AI10</f>
        <v>0.10178208554305547</v>
      </c>
      <c r="AM10" s="58">
        <f>AM11</f>
        <v>0.27838066666666661</v>
      </c>
      <c r="AO10" s="49">
        <v>1.0162023650315239</v>
      </c>
      <c r="AQ10" s="80">
        <f>AM10/AO10</f>
        <v>0.27394215585990184</v>
      </c>
      <c r="AS10" s="58">
        <f>AS11</f>
        <v>1.41740475</v>
      </c>
      <c r="AU10" s="49">
        <v>1.0997632330624227</v>
      </c>
      <c r="AW10" s="80">
        <f>AS10/AU10</f>
        <v>1.2888271833320581</v>
      </c>
      <c r="AY10" s="4"/>
    </row>
    <row r="11" spans="1:51" s="17" customFormat="1" x14ac:dyDescent="0.2">
      <c r="A11" s="15" t="s">
        <v>93</v>
      </c>
      <c r="B11" s="15" t="s">
        <v>94</v>
      </c>
      <c r="C11" s="85">
        <v>10</v>
      </c>
      <c r="D11" s="15">
        <v>3370</v>
      </c>
      <c r="E11" s="16">
        <v>88</v>
      </c>
      <c r="F11" s="13">
        <f t="shared" si="2"/>
        <v>92.328767123287676</v>
      </c>
      <c r="G11" s="13">
        <f t="shared" si="3"/>
        <v>2.4109589041095889</v>
      </c>
      <c r="H11" s="28"/>
      <c r="I11" s="15" t="s">
        <v>93</v>
      </c>
      <c r="J11" s="28">
        <v>0</v>
      </c>
      <c r="K11" s="28"/>
      <c r="L11" s="28"/>
      <c r="M11" s="28"/>
      <c r="O11" s="15" t="s">
        <v>93</v>
      </c>
      <c r="P11" s="28">
        <v>0</v>
      </c>
      <c r="Q11" s="28" t="s">
        <v>327</v>
      </c>
      <c r="R11" s="28">
        <v>0</v>
      </c>
      <c r="S11" s="28">
        <v>0</v>
      </c>
      <c r="U11" s="58">
        <f>U$17*($AA11/$AA$17)</f>
        <v>0.29529</v>
      </c>
      <c r="V11" s="88">
        <f>U11*$C11</f>
        <v>2.9529000000000001</v>
      </c>
      <c r="W11" s="77">
        <v>0.3616058094209994</v>
      </c>
      <c r="X11" s="254"/>
      <c r="Y11" s="280">
        <f>U11/W11</f>
        <v>0.81660745570657789</v>
      </c>
      <c r="AA11" s="58">
        <f>0.51*AA17</f>
        <v>0.18206999999999998</v>
      </c>
      <c r="AB11" s="38">
        <f>AA11*C11</f>
        <v>1.8206999999999998</v>
      </c>
      <c r="AC11" s="49">
        <v>0.28888720560065628</v>
      </c>
      <c r="AE11" s="80">
        <f>AA11/AC11</f>
        <v>0.63024597998875986</v>
      </c>
      <c r="AG11" s="58">
        <f>AG17*($AA11/$AA17)</f>
        <v>0.20651883333333332</v>
      </c>
      <c r="AH11" s="88">
        <f>AG11*$C11</f>
        <v>2.0651883333333334</v>
      </c>
      <c r="AI11" s="49">
        <v>0.70078503812045145</v>
      </c>
      <c r="AK11" s="80">
        <f>AG11/AI11</f>
        <v>0.29469640774185124</v>
      </c>
      <c r="AM11" s="58">
        <f>AM17*($AA11/$AA17)</f>
        <v>0.27838066666666661</v>
      </c>
      <c r="AN11" s="88">
        <f>AM11*$C11</f>
        <v>2.7838066666666661</v>
      </c>
      <c r="AO11" s="49">
        <v>1.1758994647321013</v>
      </c>
      <c r="AQ11" s="80">
        <f>AM11/AO11</f>
        <v>0.2367384925462897</v>
      </c>
      <c r="AS11" s="58">
        <f>AS17*($AA11/$AA17)</f>
        <v>1.41740475</v>
      </c>
      <c r="AT11" s="88">
        <f>AS11*$C11</f>
        <v>14.1740475</v>
      </c>
      <c r="AU11" s="77">
        <v>1.4871350095778875</v>
      </c>
      <c r="AW11" s="80">
        <f>AS11/AU11</f>
        <v>0.95311100933755843</v>
      </c>
    </row>
    <row r="12" spans="1:51" x14ac:dyDescent="0.2">
      <c r="A12" s="14" t="s">
        <v>28</v>
      </c>
      <c r="B12" s="14" t="s">
        <v>287</v>
      </c>
      <c r="C12" s="14">
        <v>0</v>
      </c>
      <c r="D12" s="18">
        <v>3901.9677419354839</v>
      </c>
      <c r="E12" s="16">
        <v>169.54838709677421</v>
      </c>
      <c r="F12" s="13">
        <f t="shared" si="0"/>
        <v>0</v>
      </c>
      <c r="G12" s="13">
        <f t="shared" si="1"/>
        <v>0</v>
      </c>
      <c r="H12" s="28"/>
      <c r="I12" s="14" t="s">
        <v>28</v>
      </c>
      <c r="J12" s="28">
        <v>0</v>
      </c>
      <c r="K12" s="28" t="s">
        <v>327</v>
      </c>
      <c r="L12" s="28">
        <v>0</v>
      </c>
      <c r="M12" s="28">
        <v>0</v>
      </c>
      <c r="N12" s="17"/>
      <c r="O12" s="82" t="s">
        <v>28</v>
      </c>
      <c r="P12" s="84">
        <v>164</v>
      </c>
      <c r="Q12" s="28" t="s">
        <v>327</v>
      </c>
      <c r="R12" s="28">
        <f>$P12*D12/365</f>
        <v>1753.2129032258065</v>
      </c>
      <c r="S12" s="28">
        <f>$P12*E12/365</f>
        <v>76.180645161290329</v>
      </c>
      <c r="T12" s="17"/>
      <c r="W12" s="254">
        <v>0.55945518218954815</v>
      </c>
      <c r="X12" s="279">
        <f>W12*$P12</f>
        <v>91.750649879085898</v>
      </c>
      <c r="AB12" s="35"/>
      <c r="AC12" s="284">
        <v>0.53906960578851659</v>
      </c>
      <c r="AD12" s="279">
        <f>AC12*$P12</f>
        <v>88.407415349316722</v>
      </c>
      <c r="AH12" s="75"/>
      <c r="AI12" s="254">
        <v>1.0975290546696348</v>
      </c>
      <c r="AJ12" s="279">
        <f>AI12*$P12</f>
        <v>179.99476496582011</v>
      </c>
      <c r="AN12" s="75"/>
      <c r="AO12" s="46">
        <v>1.0258509791119423</v>
      </c>
      <c r="AP12" s="279">
        <f>AO12*$P12</f>
        <v>168.23956057435853</v>
      </c>
      <c r="AT12" s="75">
        <v>1.2246845615009323</v>
      </c>
      <c r="AU12" s="46">
        <v>1.2246845615009323</v>
      </c>
      <c r="AV12" s="279">
        <f>AU12*$P12</f>
        <v>200.8482680861529</v>
      </c>
    </row>
    <row r="13" spans="1:51" x14ac:dyDescent="0.2">
      <c r="A13" s="14" t="s">
        <v>328</v>
      </c>
      <c r="B13" s="14" t="s">
        <v>327</v>
      </c>
      <c r="C13" s="14">
        <v>0</v>
      </c>
      <c r="D13" s="14">
        <f>3780*0.8</f>
        <v>3024</v>
      </c>
      <c r="E13" s="13">
        <v>110</v>
      </c>
      <c r="F13" s="28">
        <f t="shared" si="0"/>
        <v>0</v>
      </c>
      <c r="G13" s="13">
        <f t="shared" si="1"/>
        <v>0</v>
      </c>
      <c r="H13" s="28"/>
      <c r="I13" s="14" t="s">
        <v>328</v>
      </c>
      <c r="J13" s="28">
        <v>0</v>
      </c>
      <c r="K13" s="28" t="s">
        <v>327</v>
      </c>
      <c r="L13" s="28">
        <v>0</v>
      </c>
      <c r="M13" s="28">
        <v>0</v>
      </c>
      <c r="O13" s="14" t="s">
        <v>328</v>
      </c>
      <c r="P13" s="28">
        <v>0</v>
      </c>
      <c r="Q13" s="28" t="s">
        <v>327</v>
      </c>
      <c r="R13" s="28">
        <v>0</v>
      </c>
      <c r="S13" s="28">
        <v>0</v>
      </c>
      <c r="W13" s="254"/>
      <c r="AB13" s="35"/>
      <c r="AH13" s="75"/>
      <c r="AN13" s="75"/>
      <c r="AT13" s="75"/>
    </row>
    <row r="14" spans="1:51" x14ac:dyDescent="0.2">
      <c r="A14" s="14" t="s">
        <v>261</v>
      </c>
      <c r="B14" s="14" t="s">
        <v>327</v>
      </c>
      <c r="C14" s="14">
        <v>0</v>
      </c>
      <c r="D14" s="14">
        <v>3870</v>
      </c>
      <c r="E14" s="13"/>
      <c r="F14" s="13">
        <f t="shared" si="0"/>
        <v>0</v>
      </c>
      <c r="G14" s="13">
        <f t="shared" si="1"/>
        <v>0</v>
      </c>
      <c r="H14" s="28"/>
      <c r="I14" s="14" t="s">
        <v>261</v>
      </c>
      <c r="J14" s="28">
        <v>0</v>
      </c>
      <c r="K14" s="28" t="s">
        <v>327</v>
      </c>
      <c r="L14" s="28">
        <v>0</v>
      </c>
      <c r="M14" s="28">
        <v>0</v>
      </c>
      <c r="O14" s="14" t="s">
        <v>261</v>
      </c>
      <c r="P14" s="28">
        <v>0</v>
      </c>
      <c r="Q14" s="28" t="s">
        <v>327</v>
      </c>
      <c r="R14" s="28">
        <v>0</v>
      </c>
      <c r="S14" s="28">
        <v>0</v>
      </c>
      <c r="W14" s="254"/>
      <c r="AB14" s="35"/>
      <c r="AH14" s="75"/>
      <c r="AN14" s="75"/>
      <c r="AT14" s="75"/>
    </row>
    <row r="15" spans="1:51" x14ac:dyDescent="0.2">
      <c r="A15" s="14" t="s">
        <v>262</v>
      </c>
      <c r="B15" s="14" t="s">
        <v>327</v>
      </c>
      <c r="C15" s="14">
        <v>0</v>
      </c>
      <c r="D15" s="14">
        <v>3610</v>
      </c>
      <c r="E15" s="19"/>
      <c r="F15" s="19">
        <f t="shared" si="0"/>
        <v>0</v>
      </c>
      <c r="G15" s="19">
        <f t="shared" si="1"/>
        <v>0</v>
      </c>
      <c r="H15" s="19"/>
      <c r="I15" s="14" t="s">
        <v>262</v>
      </c>
      <c r="J15" s="28">
        <v>0</v>
      </c>
      <c r="K15" s="28" t="s">
        <v>327</v>
      </c>
      <c r="L15" s="28">
        <v>0</v>
      </c>
      <c r="M15" s="28">
        <v>0</v>
      </c>
      <c r="O15" s="14" t="s">
        <v>262</v>
      </c>
      <c r="P15" s="28">
        <v>0</v>
      </c>
      <c r="Q15" s="28" t="s">
        <v>327</v>
      </c>
      <c r="R15" s="28">
        <v>0</v>
      </c>
      <c r="S15" s="28">
        <v>0</v>
      </c>
      <c r="W15" s="254"/>
      <c r="AB15" s="35"/>
      <c r="AH15" s="75"/>
      <c r="AN15" s="75"/>
      <c r="AT15" s="75"/>
    </row>
    <row r="16" spans="1:51" x14ac:dyDescent="0.2">
      <c r="A16" s="14" t="s">
        <v>147</v>
      </c>
      <c r="B16" s="14" t="s">
        <v>327</v>
      </c>
      <c r="C16" s="85">
        <v>16</v>
      </c>
      <c r="D16" s="14">
        <v>3370</v>
      </c>
      <c r="E16" s="19">
        <v>108</v>
      </c>
      <c r="F16" s="19">
        <f t="shared" ref="F16" si="4">C16*D16/365</f>
        <v>147.72602739726028</v>
      </c>
      <c r="G16" s="19">
        <f t="shared" ref="G16" si="5">$C16*E16/365</f>
        <v>4.7342465753424658</v>
      </c>
      <c r="H16" s="19"/>
      <c r="I16" s="14" t="s">
        <v>147</v>
      </c>
      <c r="J16" s="28">
        <v>0</v>
      </c>
      <c r="K16" s="28"/>
      <c r="L16" s="28"/>
      <c r="M16" s="28"/>
      <c r="O16" s="14" t="s">
        <v>147</v>
      </c>
      <c r="P16" s="28">
        <v>0</v>
      </c>
      <c r="Q16" s="28" t="s">
        <v>327</v>
      </c>
      <c r="R16" s="28">
        <v>0</v>
      </c>
      <c r="S16" s="28">
        <v>0</v>
      </c>
      <c r="U16" s="58">
        <f>U$17*($AA16/$AA$17)</f>
        <v>0.98932773109243699</v>
      </c>
      <c r="V16" s="88">
        <f>U16*$C16</f>
        <v>15.829243697478992</v>
      </c>
      <c r="W16" s="254"/>
      <c r="AA16" s="56">
        <v>0.61</v>
      </c>
      <c r="AB16" s="38">
        <f>AA16*C16</f>
        <v>9.76</v>
      </c>
      <c r="AG16" s="58">
        <f>AG$17*($AA16/$AA$17)</f>
        <v>0.69191238717709302</v>
      </c>
      <c r="AH16" s="88">
        <f>AG16*$C16</f>
        <v>11.070598194833488</v>
      </c>
      <c r="AM16" s="58">
        <f>AM$17*($AA16/$AA$17)</f>
        <v>0.93267538126361649</v>
      </c>
      <c r="AN16" s="88">
        <f>AM16*$C16</f>
        <v>14.922806100217864</v>
      </c>
      <c r="AS16" s="58">
        <f>AS$17*($AA16/$AA$17)</f>
        <v>4.7488158263305325</v>
      </c>
      <c r="AT16" s="88">
        <f>AS16*$C16</f>
        <v>75.981053221288519</v>
      </c>
    </row>
    <row r="17" spans="1:49" x14ac:dyDescent="0.2">
      <c r="A17" s="14" t="s">
        <v>263</v>
      </c>
      <c r="B17" s="14" t="s">
        <v>327</v>
      </c>
      <c r="C17" s="85">
        <v>113.6</v>
      </c>
      <c r="D17" s="14">
        <v>3510</v>
      </c>
      <c r="E17" s="19">
        <v>75</v>
      </c>
      <c r="F17" s="19">
        <f t="shared" si="0"/>
        <v>1092.4273972602739</v>
      </c>
      <c r="G17" s="19">
        <f t="shared" si="1"/>
        <v>23.342465753424658</v>
      </c>
      <c r="H17" s="19"/>
      <c r="I17" s="14" t="s">
        <v>263</v>
      </c>
      <c r="J17" s="28">
        <v>0</v>
      </c>
      <c r="K17" s="19" t="s">
        <v>327</v>
      </c>
      <c r="L17" s="19">
        <v>0</v>
      </c>
      <c r="M17" s="19">
        <v>0</v>
      </c>
      <c r="O17" s="14" t="s">
        <v>263</v>
      </c>
      <c r="P17" s="19">
        <v>0</v>
      </c>
      <c r="Q17" s="28" t="s">
        <v>327</v>
      </c>
      <c r="R17" s="28">
        <v>0</v>
      </c>
      <c r="S17" s="28">
        <v>0</v>
      </c>
      <c r="U17" s="254">
        <v>0.57899999999999996</v>
      </c>
      <c r="V17" s="88">
        <f>U17*$C17</f>
        <v>65.774399999999986</v>
      </c>
      <c r="W17" s="254">
        <v>3.1433812124060885</v>
      </c>
      <c r="Y17" s="280">
        <f>U17/W17</f>
        <v>0.18419655806137708</v>
      </c>
      <c r="AA17" s="54">
        <v>0.35699999999999998</v>
      </c>
      <c r="AB17" s="38">
        <f>AA17*C17</f>
        <v>40.555199999999999</v>
      </c>
      <c r="AC17" s="46">
        <v>3.0222414975709215</v>
      </c>
      <c r="AE17" s="80">
        <f>AA17/AC17</f>
        <v>0.11812424661858857</v>
      </c>
      <c r="AG17" s="56">
        <v>0.40493888888888885</v>
      </c>
      <c r="AH17" s="88">
        <f>AG17*$C17</f>
        <v>46.001057777777774</v>
      </c>
      <c r="AI17" s="46">
        <v>2.799893870620346</v>
      </c>
      <c r="AK17" s="80">
        <f>AG17/AI17</f>
        <v>0.14462651357537717</v>
      </c>
      <c r="AM17" s="56">
        <v>0.54584444444444435</v>
      </c>
      <c r="AN17" s="88">
        <f>AM17*$C17</f>
        <v>62.007928888888877</v>
      </c>
      <c r="AO17" s="78">
        <v>2.9168529692741911</v>
      </c>
      <c r="AQ17" s="80">
        <f>AM17/AO17</f>
        <v>0.18713471340321566</v>
      </c>
      <c r="AS17" s="56">
        <v>2.7792249999999998</v>
      </c>
      <c r="AT17" s="88">
        <f>AS17*$C17</f>
        <v>315.71995999999996</v>
      </c>
      <c r="AU17" s="58" t="s">
        <v>105</v>
      </c>
      <c r="AW17" s="80"/>
    </row>
    <row r="18" spans="1:49" x14ac:dyDescent="0.2">
      <c r="A18" s="14" t="s">
        <v>115</v>
      </c>
      <c r="B18" s="14" t="s">
        <v>327</v>
      </c>
      <c r="C18" s="14">
        <v>0</v>
      </c>
      <c r="D18" s="14">
        <v>3640</v>
      </c>
      <c r="E18" s="19"/>
      <c r="F18" s="19">
        <f t="shared" ref="F18:F19" si="6">C18*D18/365</f>
        <v>0</v>
      </c>
      <c r="G18" s="19">
        <f t="shared" ref="G18:G19" si="7">$C18*E18/365</f>
        <v>0</v>
      </c>
      <c r="H18" s="19"/>
      <c r="I18" s="14" t="s">
        <v>115</v>
      </c>
      <c r="J18" s="28">
        <v>0</v>
      </c>
      <c r="K18" s="19" t="s">
        <v>327</v>
      </c>
      <c r="L18" s="19">
        <v>0</v>
      </c>
      <c r="M18" s="19">
        <v>0</v>
      </c>
      <c r="O18" s="14" t="s">
        <v>115</v>
      </c>
      <c r="P18" s="19">
        <v>0</v>
      </c>
      <c r="Q18" s="28" t="s">
        <v>327</v>
      </c>
      <c r="R18" s="28">
        <v>0</v>
      </c>
      <c r="S18" s="28">
        <v>0</v>
      </c>
      <c r="W18" s="254"/>
      <c r="AB18" s="35"/>
      <c r="AH18" s="75"/>
      <c r="AN18" s="75"/>
      <c r="AT18" s="75"/>
    </row>
    <row r="19" spans="1:49" x14ac:dyDescent="0.2">
      <c r="A19" s="14" t="s">
        <v>148</v>
      </c>
      <c r="B19" s="14" t="s">
        <v>236</v>
      </c>
      <c r="C19" s="85">
        <v>52</v>
      </c>
      <c r="D19" s="14">
        <v>3920</v>
      </c>
      <c r="E19" s="19">
        <v>343</v>
      </c>
      <c r="F19" s="19">
        <f t="shared" si="6"/>
        <v>558.46575342465758</v>
      </c>
      <c r="G19" s="19">
        <f t="shared" si="7"/>
        <v>48.865753424657534</v>
      </c>
      <c r="H19" s="19"/>
      <c r="I19" s="14" t="s">
        <v>148</v>
      </c>
      <c r="J19" s="28">
        <v>0</v>
      </c>
      <c r="K19" s="19"/>
      <c r="L19" s="19"/>
      <c r="M19" s="19"/>
      <c r="O19" s="14" t="s">
        <v>148</v>
      </c>
      <c r="P19" s="19">
        <v>0</v>
      </c>
      <c r="Q19" s="28" t="s">
        <v>327</v>
      </c>
      <c r="R19" s="28">
        <v>0</v>
      </c>
      <c r="S19" s="28">
        <v>0</v>
      </c>
      <c r="U19" s="58">
        <f>U$17*($AA19/$AA$17)</f>
        <v>0.57899999999999996</v>
      </c>
      <c r="V19" s="88">
        <f>U19*$C19</f>
        <v>30.107999999999997</v>
      </c>
      <c r="W19" s="254">
        <v>0.35415934283012768</v>
      </c>
      <c r="Y19" s="280">
        <f>U19/W19</f>
        <v>1.6348573367375967</v>
      </c>
      <c r="AA19" s="254">
        <f>AA17</f>
        <v>0.35699999999999998</v>
      </c>
      <c r="AB19" s="38">
        <f>AA19*C19</f>
        <v>18.564</v>
      </c>
      <c r="AC19" s="46">
        <v>0.33795972057129908</v>
      </c>
      <c r="AE19" s="80">
        <f>AA19/AC19</f>
        <v>1.0563389015605604</v>
      </c>
      <c r="AG19" s="58">
        <f>AG$17*($AA19/$AA$17)</f>
        <v>0.40493888888888885</v>
      </c>
      <c r="AH19" s="88">
        <f>AG19*$C19</f>
        <v>21.05682222222222</v>
      </c>
      <c r="AI19" s="54">
        <v>0.71856716714363822</v>
      </c>
      <c r="AK19" s="80">
        <f>AG19/AI19</f>
        <v>0.56353658698121878</v>
      </c>
      <c r="AM19" s="58">
        <f>AM$17*($AA19/$AA$17)</f>
        <v>0.54584444444444435</v>
      </c>
      <c r="AN19" s="88">
        <f>AM19*$C19</f>
        <v>28.383911111111107</v>
      </c>
      <c r="AO19" s="56">
        <v>0.72381959222104419</v>
      </c>
      <c r="AQ19" s="80">
        <f>AM19/AO19</f>
        <v>0.75411670298881772</v>
      </c>
      <c r="AS19" s="58">
        <f>AS$17*($AA19/$AA$17)</f>
        <v>2.7792249999999998</v>
      </c>
      <c r="AT19" s="88">
        <f>AS19*$C19</f>
        <v>144.5197</v>
      </c>
      <c r="AU19" s="56">
        <v>0.87271352560256932</v>
      </c>
      <c r="AW19" s="80">
        <f>AS19/AU19</f>
        <v>3.1845788090439764</v>
      </c>
    </row>
    <row r="20" spans="1:49" x14ac:dyDescent="0.2">
      <c r="A20" s="14" t="s">
        <v>49</v>
      </c>
      <c r="B20" s="14" t="s">
        <v>116</v>
      </c>
      <c r="C20" s="85">
        <v>4</v>
      </c>
      <c r="D20" s="14">
        <v>1125</v>
      </c>
      <c r="E20" s="19">
        <v>71</v>
      </c>
      <c r="F20" s="19">
        <f t="shared" si="0"/>
        <v>12.328767123287671</v>
      </c>
      <c r="G20" s="19">
        <f t="shared" si="1"/>
        <v>0.77808219178082194</v>
      </c>
      <c r="H20" s="19"/>
      <c r="I20" s="14" t="s">
        <v>49</v>
      </c>
      <c r="J20" s="84">
        <v>52</v>
      </c>
      <c r="K20" s="19" t="s">
        <v>116</v>
      </c>
      <c r="L20" s="19">
        <v>160.27397260273972</v>
      </c>
      <c r="M20" s="19">
        <v>10.115068493150686</v>
      </c>
      <c r="O20" s="82" t="s">
        <v>49</v>
      </c>
      <c r="P20" s="84">
        <f>20*1.0684</f>
        <v>21.368000000000002</v>
      </c>
      <c r="Q20" s="14" t="s">
        <v>64</v>
      </c>
      <c r="R20" s="28">
        <f>$P20*D20/365</f>
        <v>65.860273972602755</v>
      </c>
      <c r="S20" s="28">
        <f>$P20*E20/365</f>
        <v>4.1565150684931513</v>
      </c>
      <c r="U20" s="58">
        <f>U$17*($AA20/$AA$17)</f>
        <v>0.36476999999999998</v>
      </c>
      <c r="V20" s="88">
        <f>U20*C20</f>
        <v>1.4590799999999999</v>
      </c>
      <c r="W20" s="254">
        <v>0.35415934283012768</v>
      </c>
      <c r="X20" s="279">
        <f>W20*$P20</f>
        <v>7.5676768375941688</v>
      </c>
      <c r="Y20" s="280">
        <f>U20/W20</f>
        <v>1.0299601221446859</v>
      </c>
      <c r="AA20" s="56">
        <f>0.63*AA17</f>
        <v>0.22491</v>
      </c>
      <c r="AB20" s="38">
        <f>AA20*C20</f>
        <v>0.89964</v>
      </c>
      <c r="AC20" s="54">
        <v>0.33795972057129908</v>
      </c>
      <c r="AD20" s="279">
        <f>AC20*$P20</f>
        <v>7.2215233091675195</v>
      </c>
      <c r="AF20" s="68"/>
      <c r="AG20" s="254">
        <f>0.63*AG17</f>
        <v>0.25511149999999999</v>
      </c>
      <c r="AH20" s="88">
        <f>AG20*U20</f>
        <v>9.3057021854999991E-2</v>
      </c>
      <c r="AI20" s="54">
        <v>0.71856716714363822</v>
      </c>
      <c r="AJ20" s="279">
        <f>AI20*$P20</f>
        <v>15.354343227525263</v>
      </c>
      <c r="AM20" s="254">
        <f>0.63*AM17</f>
        <v>0.34388199999999997</v>
      </c>
      <c r="AN20" s="88">
        <f>AM20*AA20</f>
        <v>7.734250061999999E-2</v>
      </c>
      <c r="AO20" s="46">
        <v>0.72381959222104419</v>
      </c>
      <c r="AP20" s="279">
        <f>AO20*$P20</f>
        <v>15.466577046579275</v>
      </c>
      <c r="AS20" s="254">
        <f>0.63*AS17</f>
        <v>1.75091175</v>
      </c>
      <c r="AT20" s="88">
        <f>AS20*AG20</f>
        <v>0.44667772291012497</v>
      </c>
      <c r="AU20" s="46">
        <v>0.87271352560256932</v>
      </c>
      <c r="AV20" s="279">
        <f>AU20*$P20</f>
        <v>18.648142615075702</v>
      </c>
      <c r="AW20" s="80">
        <f>AS20/AU20</f>
        <v>2.0062846496977049</v>
      </c>
    </row>
    <row r="21" spans="1:49" x14ac:dyDescent="0.2">
      <c r="A21" s="14" t="s">
        <v>50</v>
      </c>
      <c r="B21" s="14" t="s">
        <v>327</v>
      </c>
      <c r="C21" s="14">
        <v>0</v>
      </c>
      <c r="D21" s="14">
        <v>2500</v>
      </c>
      <c r="E21" s="19">
        <v>200</v>
      </c>
      <c r="F21" s="20">
        <f t="shared" si="0"/>
        <v>0</v>
      </c>
      <c r="G21" s="19">
        <f t="shared" si="1"/>
        <v>0</v>
      </c>
      <c r="H21" s="19"/>
      <c r="I21" s="14" t="s">
        <v>50</v>
      </c>
      <c r="J21" s="84">
        <v>26</v>
      </c>
      <c r="K21" s="19" t="s">
        <v>327</v>
      </c>
      <c r="L21" s="19">
        <v>178.08219178082192</v>
      </c>
      <c r="M21" s="19">
        <v>14.246575342465754</v>
      </c>
      <c r="O21" s="82" t="s">
        <v>295</v>
      </c>
      <c r="P21" s="84">
        <f>5*1.0684</f>
        <v>5.3420000000000005</v>
      </c>
      <c r="Q21" s="19" t="s">
        <v>327</v>
      </c>
      <c r="R21" s="28">
        <f>$P21*D21/365</f>
        <v>36.589041095890416</v>
      </c>
      <c r="S21" s="28">
        <f>$P21*E21/365</f>
        <v>2.927123287671233</v>
      </c>
      <c r="U21" s="54"/>
      <c r="W21" s="254">
        <v>3.09562721121236</v>
      </c>
      <c r="X21" s="279">
        <f>W21*$P21</f>
        <v>16.53684056229643</v>
      </c>
      <c r="AB21" s="35"/>
      <c r="AC21" s="56">
        <v>3.0960000000000001</v>
      </c>
      <c r="AD21" s="279">
        <f>AC21*$P21</f>
        <v>16.538832000000003</v>
      </c>
      <c r="AG21" s="54"/>
      <c r="AH21" s="75"/>
      <c r="AI21" s="46">
        <v>7.0434732489599376</v>
      </c>
      <c r="AJ21" s="279">
        <f>AI21*$P21</f>
        <v>37.626234095943992</v>
      </c>
      <c r="AM21" s="54"/>
      <c r="AN21" s="75"/>
      <c r="AO21" s="46">
        <v>6.6244048321910816</v>
      </c>
      <c r="AP21" s="279">
        <f>AO21*$P21</f>
        <v>35.387570613564762</v>
      </c>
      <c r="AS21" s="54"/>
      <c r="AT21" s="75"/>
      <c r="AU21" s="46">
        <v>8.6692670144027382</v>
      </c>
      <c r="AV21" s="279">
        <f>AU21*$P21</f>
        <v>46.311224390939429</v>
      </c>
    </row>
    <row r="22" spans="1:49" x14ac:dyDescent="0.2">
      <c r="A22" s="14" t="s">
        <v>51</v>
      </c>
      <c r="B22" s="14" t="s">
        <v>327</v>
      </c>
      <c r="C22" s="85">
        <v>3.5</v>
      </c>
      <c r="D22" s="14">
        <v>1050</v>
      </c>
      <c r="E22" s="19">
        <v>181</v>
      </c>
      <c r="F22" s="20">
        <f t="shared" ref="F22" si="8">C22*D22/365</f>
        <v>10.068493150684931</v>
      </c>
      <c r="G22" s="19">
        <f t="shared" ref="G22" si="9">$C22*E22/365</f>
        <v>1.7356164383561643</v>
      </c>
      <c r="H22" s="19"/>
      <c r="I22" s="14" t="s">
        <v>51</v>
      </c>
      <c r="J22" s="19">
        <v>0</v>
      </c>
      <c r="K22" s="19"/>
      <c r="L22" s="19"/>
      <c r="M22" s="19"/>
      <c r="O22" s="14" t="s">
        <v>51</v>
      </c>
      <c r="P22" s="19">
        <v>0</v>
      </c>
      <c r="Q22" s="19"/>
      <c r="R22" s="19">
        <v>0</v>
      </c>
      <c r="S22" s="19">
        <v>0</v>
      </c>
      <c r="U22" s="81">
        <f>U$17*($AA22/$AA$17)</f>
        <v>3.5356302521008405</v>
      </c>
      <c r="V22" s="88">
        <f>U22*C22</f>
        <v>12.374705882352941</v>
      </c>
      <c r="W22" s="254"/>
      <c r="AA22" s="56">
        <v>2.1800000000000002</v>
      </c>
      <c r="AB22" s="38">
        <f>AA22*C22</f>
        <v>7.6300000000000008</v>
      </c>
      <c r="AC22" s="54"/>
      <c r="AG22" s="81">
        <f>AG$17*($AA22/$AA$17)</f>
        <v>2.4727360722066605</v>
      </c>
      <c r="AH22" s="88">
        <f>AG22*U22</f>
        <v>8.7426804623548762</v>
      </c>
      <c r="AM22" s="81">
        <f>AM$17*($AA22/$AA$17)</f>
        <v>3.3331677559912851</v>
      </c>
      <c r="AN22" s="88">
        <f>AM22*AA22</f>
        <v>7.2663057080610018</v>
      </c>
      <c r="AS22" s="81">
        <f>AS$17*($AA22/$AA$17)</f>
        <v>16.971177871148459</v>
      </c>
      <c r="AT22" s="88">
        <f>AS22*AG22</f>
        <v>41.965243709824236</v>
      </c>
    </row>
    <row r="23" spans="1:49" x14ac:dyDescent="0.2">
      <c r="A23" s="14" t="s">
        <v>146</v>
      </c>
      <c r="B23" s="14" t="s">
        <v>112</v>
      </c>
      <c r="C23" s="85">
        <v>1</v>
      </c>
      <c r="D23" s="14">
        <v>1553</v>
      </c>
      <c r="E23" s="19">
        <v>0</v>
      </c>
      <c r="F23" s="19">
        <f t="shared" si="0"/>
        <v>4.2547945205479456</v>
      </c>
      <c r="G23" s="19">
        <f t="shared" si="1"/>
        <v>0</v>
      </c>
      <c r="H23" s="19"/>
      <c r="I23" s="14" t="s">
        <v>171</v>
      </c>
      <c r="J23" s="19">
        <v>0</v>
      </c>
      <c r="K23" s="19"/>
      <c r="L23" s="19">
        <v>0</v>
      </c>
      <c r="M23" s="19">
        <v>0</v>
      </c>
      <c r="O23" s="14" t="s">
        <v>171</v>
      </c>
      <c r="P23" s="19">
        <v>0</v>
      </c>
      <c r="Q23" s="14" t="s">
        <v>64</v>
      </c>
      <c r="R23" s="19">
        <v>0</v>
      </c>
      <c r="S23" s="19">
        <v>0</v>
      </c>
      <c r="U23" s="54">
        <v>0.75016688226611616</v>
      </c>
      <c r="V23" s="88">
        <f>U23*C23</f>
        <v>0.75016688226611616</v>
      </c>
      <c r="W23" s="254"/>
      <c r="Y23" s="68"/>
      <c r="Z23" s="68"/>
      <c r="AA23" s="54">
        <v>0.46361022199372365</v>
      </c>
      <c r="AB23" s="38">
        <f>AA23*C23</f>
        <v>0.46361022199372365</v>
      </c>
      <c r="AC23" s="54"/>
      <c r="AG23" s="54">
        <v>0.52412778966338847</v>
      </c>
      <c r="AH23" s="88">
        <f>AG23*U23</f>
        <v>0.39318330988081485</v>
      </c>
      <c r="AM23" s="54">
        <v>3.0260281053230953</v>
      </c>
      <c r="AN23" s="88">
        <f>AM23*AA23</f>
        <v>1.4028975616680872</v>
      </c>
      <c r="AS23" s="54">
        <v>2.4604734342781014</v>
      </c>
      <c r="AT23" s="88">
        <f>AS23*AG23</f>
        <v>1.2896025026336677</v>
      </c>
    </row>
    <row r="24" spans="1:49" x14ac:dyDescent="0.2">
      <c r="A24" s="14" t="s">
        <v>52</v>
      </c>
      <c r="B24" s="14" t="s">
        <v>112</v>
      </c>
      <c r="C24" s="14">
        <v>0</v>
      </c>
      <c r="D24" s="18">
        <v>425.16483516483515</v>
      </c>
      <c r="E24" s="18">
        <v>4.0109890109890109</v>
      </c>
      <c r="F24" s="19">
        <f t="shared" si="0"/>
        <v>0</v>
      </c>
      <c r="G24" s="19">
        <f t="shared" si="1"/>
        <v>0</v>
      </c>
      <c r="H24" s="19"/>
      <c r="I24" s="14" t="s">
        <v>52</v>
      </c>
      <c r="J24" s="84">
        <v>182</v>
      </c>
      <c r="K24" s="19" t="s">
        <v>116</v>
      </c>
      <c r="L24" s="19">
        <v>212</v>
      </c>
      <c r="M24" s="19">
        <v>2</v>
      </c>
      <c r="O24" s="14" t="s">
        <v>52</v>
      </c>
      <c r="P24" s="19">
        <v>0</v>
      </c>
      <c r="Q24" s="14" t="s">
        <v>64</v>
      </c>
      <c r="R24" s="19">
        <v>0</v>
      </c>
      <c r="S24" s="19">
        <v>0</v>
      </c>
      <c r="U24" s="54"/>
      <c r="W24" s="254">
        <v>1.2192849812320912</v>
      </c>
      <c r="AB24" s="35"/>
      <c r="AC24" s="54">
        <v>1.241309652940684</v>
      </c>
      <c r="AG24" s="54"/>
      <c r="AH24" s="75"/>
      <c r="AI24" s="46">
        <v>1.6961918507255975</v>
      </c>
      <c r="AM24" s="54"/>
      <c r="AN24" s="75"/>
      <c r="AO24" s="46">
        <v>2.4248792742173193</v>
      </c>
      <c r="AS24" s="54"/>
      <c r="AT24" s="75"/>
      <c r="AU24" s="46">
        <v>2.601917871922836</v>
      </c>
    </row>
    <row r="25" spans="1:49" x14ac:dyDescent="0.2">
      <c r="A25" s="14" t="s">
        <v>53</v>
      </c>
      <c r="B25" s="14" t="s">
        <v>112</v>
      </c>
      <c r="C25" s="85">
        <v>1</v>
      </c>
      <c r="D25" s="18">
        <v>8800</v>
      </c>
      <c r="E25" s="18">
        <v>0</v>
      </c>
      <c r="F25" s="19">
        <f t="shared" ref="F25:F29" si="10">C25*D25/365</f>
        <v>24.109589041095891</v>
      </c>
      <c r="G25" s="19">
        <f t="shared" ref="G25:G29" si="11">$C25*E25/365</f>
        <v>0</v>
      </c>
      <c r="H25" s="19"/>
      <c r="I25" s="14" t="s">
        <v>53</v>
      </c>
      <c r="J25" s="19">
        <v>0</v>
      </c>
      <c r="K25" s="19"/>
      <c r="L25" s="19"/>
      <c r="M25" s="19"/>
      <c r="O25" s="14" t="s">
        <v>53</v>
      </c>
      <c r="P25" s="19">
        <v>0</v>
      </c>
      <c r="Q25" s="14" t="s">
        <v>64</v>
      </c>
      <c r="R25" s="19">
        <v>0</v>
      </c>
      <c r="S25" s="19">
        <v>0</v>
      </c>
      <c r="U25" s="54">
        <f>U34</f>
        <v>1.9391252881569567</v>
      </c>
      <c r="V25" s="88">
        <f>U25*C25</f>
        <v>1.9391252881569567</v>
      </c>
      <c r="W25" s="254"/>
      <c r="AA25" s="56">
        <f>AA34</f>
        <v>1.3529579507364478</v>
      </c>
      <c r="AB25" s="38">
        <f>AA25*C25</f>
        <v>1.3529579507364478</v>
      </c>
      <c r="AC25" s="54">
        <v>6.89</v>
      </c>
      <c r="AE25" s="80">
        <f>AA25/AC25</f>
        <v>0.19636545003431755</v>
      </c>
      <c r="AG25" s="54">
        <f>AG34</f>
        <v>1.247576809607259</v>
      </c>
      <c r="AH25" s="88">
        <f>AG25*U25</f>
        <v>2.4192077404276131</v>
      </c>
      <c r="AM25" s="54">
        <f>AM34</f>
        <v>1.7088790118542843</v>
      </c>
      <c r="AN25" s="88">
        <f>AM25*AA25</f>
        <v>2.3120414459348981</v>
      </c>
      <c r="AS25" s="54">
        <f>AS34</f>
        <v>7.9303973110878916</v>
      </c>
      <c r="AT25" s="88">
        <f>AS25*AG25</f>
        <v>9.893779776285017</v>
      </c>
    </row>
    <row r="26" spans="1:49" x14ac:dyDescent="0.2">
      <c r="A26" s="14" t="s">
        <v>117</v>
      </c>
      <c r="B26" s="14" t="s">
        <v>327</v>
      </c>
      <c r="C26" s="14">
        <v>0</v>
      </c>
      <c r="D26" s="14">
        <v>8760</v>
      </c>
      <c r="E26" s="18">
        <v>0</v>
      </c>
      <c r="F26" s="19">
        <f t="shared" si="10"/>
        <v>0</v>
      </c>
      <c r="G26" s="19">
        <f t="shared" si="11"/>
        <v>0</v>
      </c>
      <c r="H26" s="19"/>
      <c r="I26" s="14" t="s">
        <v>117</v>
      </c>
      <c r="J26" s="19">
        <v>0</v>
      </c>
      <c r="K26" s="19"/>
      <c r="L26" s="19">
        <v>0</v>
      </c>
      <c r="M26" s="19">
        <v>0</v>
      </c>
      <c r="O26" s="14" t="s">
        <v>117</v>
      </c>
      <c r="P26" s="19">
        <v>0</v>
      </c>
      <c r="Q26" s="19" t="s">
        <v>327</v>
      </c>
      <c r="R26" s="19">
        <v>0</v>
      </c>
      <c r="S26" s="19">
        <v>0</v>
      </c>
      <c r="U26" s="54"/>
      <c r="W26" s="254"/>
      <c r="AB26" s="35"/>
      <c r="AC26" s="54"/>
      <c r="AH26" s="75"/>
      <c r="AN26" s="75"/>
      <c r="AT26" s="75"/>
    </row>
    <row r="27" spans="1:49" x14ac:dyDescent="0.2">
      <c r="A27" s="14" t="s">
        <v>100</v>
      </c>
      <c r="B27" s="14" t="s">
        <v>101</v>
      </c>
      <c r="C27" s="14">
        <v>0</v>
      </c>
      <c r="D27" s="14">
        <v>7286</v>
      </c>
      <c r="E27" s="19">
        <v>7</v>
      </c>
      <c r="F27" s="19">
        <f t="shared" si="10"/>
        <v>0</v>
      </c>
      <c r="G27" s="19">
        <f t="shared" si="11"/>
        <v>0</v>
      </c>
      <c r="H27" s="19"/>
      <c r="I27" s="14" t="s">
        <v>100</v>
      </c>
      <c r="J27" s="19">
        <v>0</v>
      </c>
      <c r="K27" s="19" t="s">
        <v>327</v>
      </c>
      <c r="L27" s="19">
        <v>103.80054794520549</v>
      </c>
      <c r="M27" s="19">
        <v>9.9726027397260275E-2</v>
      </c>
      <c r="O27" s="82" t="s">
        <v>100</v>
      </c>
      <c r="P27" s="84">
        <f>3*1.0684</f>
        <v>3.2052</v>
      </c>
      <c r="Q27" s="19" t="s">
        <v>327</v>
      </c>
      <c r="R27" s="28">
        <f>$P27*D27/365</f>
        <v>63.981060821917815</v>
      </c>
      <c r="S27" s="28">
        <f>$P27*E27/365</f>
        <v>6.1469589041095889E-2</v>
      </c>
      <c r="U27" s="54"/>
      <c r="W27" s="254">
        <v>4.9238255882294162</v>
      </c>
      <c r="X27" s="279">
        <f>W27*$P27</f>
        <v>15.781845775392926</v>
      </c>
      <c r="AB27" s="35"/>
      <c r="AC27" s="54">
        <v>5.8760195031718343</v>
      </c>
      <c r="AD27" s="279">
        <f>AC27*$P27</f>
        <v>18.833817711566365</v>
      </c>
      <c r="AH27" s="75"/>
      <c r="AI27" s="46">
        <v>10.087623071794987</v>
      </c>
      <c r="AJ27" s="279">
        <f>AI27*$P27</f>
        <v>32.332849469717289</v>
      </c>
      <c r="AN27" s="75"/>
      <c r="AO27" s="46">
        <v>8.5894982450068706</v>
      </c>
      <c r="AP27" s="279">
        <f>AO27*$P27</f>
        <v>27.531059774896022</v>
      </c>
      <c r="AT27" s="75"/>
      <c r="AU27" s="46">
        <v>13.502092393650845</v>
      </c>
      <c r="AV27" s="279">
        <f>AU27*$P27</f>
        <v>43.276906540129687</v>
      </c>
    </row>
    <row r="28" spans="1:49" x14ac:dyDescent="0.2">
      <c r="A28" s="14" t="s">
        <v>10</v>
      </c>
      <c r="B28" s="14" t="s">
        <v>327</v>
      </c>
      <c r="C28" s="14">
        <v>0</v>
      </c>
      <c r="D28" s="14">
        <v>3750</v>
      </c>
      <c r="E28" s="5">
        <v>214</v>
      </c>
      <c r="F28" s="19">
        <f t="shared" si="10"/>
        <v>0</v>
      </c>
      <c r="G28" s="19">
        <f t="shared" si="11"/>
        <v>0</v>
      </c>
      <c r="H28" s="19"/>
      <c r="I28" s="14" t="s">
        <v>10</v>
      </c>
      <c r="J28" s="19">
        <v>0</v>
      </c>
      <c r="K28" s="19" t="s">
        <v>327</v>
      </c>
      <c r="L28" s="19">
        <v>53.424657534246577</v>
      </c>
      <c r="M28" s="19">
        <v>3.048767123287671</v>
      </c>
      <c r="O28" s="14" t="s">
        <v>10</v>
      </c>
      <c r="P28" s="19">
        <v>0</v>
      </c>
      <c r="Q28" s="19" t="s">
        <v>327</v>
      </c>
      <c r="R28" s="19">
        <v>0</v>
      </c>
      <c r="S28" s="19">
        <v>0</v>
      </c>
      <c r="W28" s="54">
        <v>2.9363770707803685</v>
      </c>
      <c r="AB28" s="55"/>
      <c r="AC28" s="46">
        <v>3.0337574101270586</v>
      </c>
      <c r="AH28" s="75"/>
      <c r="AI28" s="46">
        <v>5.9266882144003441</v>
      </c>
      <c r="AN28" s="75"/>
      <c r="AO28" s="46">
        <v>5.8475786288142038</v>
      </c>
      <c r="AT28" s="75"/>
      <c r="AU28" s="46">
        <v>7.5353012744454118</v>
      </c>
    </row>
    <row r="29" spans="1:49" x14ac:dyDescent="0.2">
      <c r="A29" s="14" t="s">
        <v>11</v>
      </c>
      <c r="B29" s="14" t="s">
        <v>12</v>
      </c>
      <c r="C29" s="83">
        <v>0</v>
      </c>
      <c r="D29" s="14">
        <v>79</v>
      </c>
      <c r="E29" s="5">
        <v>6.25</v>
      </c>
      <c r="F29" s="19">
        <f t="shared" si="10"/>
        <v>0</v>
      </c>
      <c r="G29" s="19">
        <f t="shared" si="11"/>
        <v>0</v>
      </c>
      <c r="H29" s="19"/>
      <c r="I29" s="14" t="s">
        <v>11</v>
      </c>
      <c r="J29" s="19">
        <v>0</v>
      </c>
      <c r="K29" s="19" t="s">
        <v>108</v>
      </c>
      <c r="L29" s="19">
        <v>11.254794520547945</v>
      </c>
      <c r="M29" s="19">
        <v>0.8904109589041096</v>
      </c>
      <c r="O29" s="83" t="s">
        <v>11</v>
      </c>
      <c r="P29" s="108">
        <v>0</v>
      </c>
      <c r="Q29" s="108" t="s">
        <v>108</v>
      </c>
      <c r="R29" s="108">
        <v>0</v>
      </c>
      <c r="S29" s="108">
        <v>0</v>
      </c>
      <c r="U29" s="281"/>
      <c r="V29" s="282"/>
      <c r="W29" s="281">
        <f>2.33414605762784/12</f>
        <v>0.19451217146898667</v>
      </c>
      <c r="X29" s="74"/>
      <c r="Y29" s="74"/>
      <c r="AA29" s="281"/>
      <c r="AB29" s="285"/>
      <c r="AC29" s="73">
        <v>2.5418101842463532</v>
      </c>
      <c r="AD29" s="74"/>
      <c r="AE29" s="74"/>
      <c r="AG29" s="281"/>
      <c r="AH29" s="282"/>
      <c r="AI29" s="281">
        <v>3.7613545857166009</v>
      </c>
      <c r="AJ29" s="74"/>
      <c r="AK29" s="74"/>
      <c r="AM29" s="281"/>
      <c r="AN29" s="282"/>
      <c r="AO29" s="281">
        <f>2.9933113319776/10</f>
        <v>0.29933113319776</v>
      </c>
      <c r="AP29" s="74"/>
      <c r="AQ29" s="74"/>
      <c r="AS29" s="281"/>
      <c r="AT29" s="282"/>
      <c r="AU29" s="281">
        <f>4.65613320959291/12</f>
        <v>0.38801110079940915</v>
      </c>
      <c r="AV29" s="74"/>
      <c r="AW29" s="74"/>
    </row>
    <row r="30" spans="1:49" x14ac:dyDescent="0.2">
      <c r="A30" s="14" t="s">
        <v>193</v>
      </c>
      <c r="B30" s="14" t="s">
        <v>327</v>
      </c>
      <c r="C30" s="14">
        <v>0</v>
      </c>
      <c r="D30" s="3"/>
      <c r="E30" s="3"/>
      <c r="F30" s="3"/>
      <c r="G30" s="3"/>
      <c r="H30" s="3"/>
      <c r="I30" s="14" t="s">
        <v>193</v>
      </c>
      <c r="J30" s="19">
        <v>0</v>
      </c>
      <c r="K30" s="19" t="s">
        <v>327</v>
      </c>
      <c r="L30" s="19"/>
      <c r="M30" s="19"/>
      <c r="O30" s="14" t="s">
        <v>193</v>
      </c>
      <c r="P30" s="14">
        <v>0</v>
      </c>
      <c r="Q30" s="19" t="s">
        <v>327</v>
      </c>
      <c r="R30" s="19"/>
      <c r="S30" s="19"/>
      <c r="W30" s="254"/>
      <c r="AB30" s="35"/>
      <c r="AC30" s="70"/>
      <c r="AH30" s="75"/>
      <c r="AN30" s="75"/>
      <c r="AT30" s="75"/>
    </row>
    <row r="31" spans="1:49" x14ac:dyDescent="0.2">
      <c r="A31" s="14" t="s">
        <v>149</v>
      </c>
      <c r="B31" s="14" t="s">
        <v>44</v>
      </c>
      <c r="C31" s="14">
        <v>0</v>
      </c>
      <c r="D31" s="3"/>
      <c r="E31" s="3"/>
      <c r="F31" s="3"/>
      <c r="G31" s="3"/>
      <c r="H31" s="3"/>
      <c r="I31" s="14" t="s">
        <v>194</v>
      </c>
      <c r="J31" s="19">
        <v>0</v>
      </c>
      <c r="K31" s="19" t="s">
        <v>109</v>
      </c>
      <c r="L31" s="19"/>
      <c r="M31" s="19"/>
      <c r="O31" s="14" t="s">
        <v>149</v>
      </c>
      <c r="P31" s="14">
        <v>0</v>
      </c>
      <c r="Q31" s="19" t="s">
        <v>109</v>
      </c>
      <c r="R31" s="19"/>
      <c r="S31" s="19"/>
      <c r="W31" s="254">
        <v>4.387830690805874</v>
      </c>
      <c r="X31" s="279"/>
      <c r="AB31" s="35"/>
      <c r="AC31" s="46">
        <v>5.0217906575604561</v>
      </c>
      <c r="AD31" s="279"/>
      <c r="AH31" s="75"/>
      <c r="AI31" s="46">
        <v>5.0160961588261772</v>
      </c>
      <c r="AJ31" s="279"/>
      <c r="AN31" s="75"/>
      <c r="AO31" s="46">
        <v>1.2514401902575782</v>
      </c>
      <c r="AP31" s="279"/>
      <c r="AT31" s="75"/>
      <c r="AU31" s="46">
        <v>1.6495250711889851</v>
      </c>
      <c r="AV31" s="279"/>
    </row>
    <row r="32" spans="1:49" x14ac:dyDescent="0.2">
      <c r="A32" s="14" t="s">
        <v>13</v>
      </c>
      <c r="B32" s="14" t="s">
        <v>292</v>
      </c>
      <c r="C32" s="82">
        <v>5</v>
      </c>
      <c r="D32" s="3"/>
      <c r="E32" s="3"/>
      <c r="F32" s="3"/>
      <c r="G32" s="3"/>
      <c r="H32" s="3"/>
      <c r="I32" s="14" t="s">
        <v>13</v>
      </c>
      <c r="J32" s="19">
        <v>5</v>
      </c>
      <c r="K32" s="19" t="s">
        <v>179</v>
      </c>
      <c r="L32" s="19"/>
      <c r="M32" s="19"/>
      <c r="O32" s="82" t="s">
        <v>13</v>
      </c>
      <c r="P32" s="82">
        <v>5</v>
      </c>
      <c r="Q32" s="19" t="s">
        <v>109</v>
      </c>
      <c r="R32" s="19"/>
      <c r="S32" s="19"/>
      <c r="U32" s="58">
        <f>U$17*($AA32/$AA$17)</f>
        <v>1.891075630252101</v>
      </c>
      <c r="V32" s="88">
        <f>U32*C32</f>
        <v>9.4553781512605042</v>
      </c>
      <c r="W32" s="254">
        <v>10.81281113390607</v>
      </c>
      <c r="X32" s="279">
        <f>W32*$P32</f>
        <v>54.064055669530347</v>
      </c>
      <c r="Y32" s="280">
        <f>U32/W32</f>
        <v>0.17489213552636612</v>
      </c>
      <c r="AA32" s="56">
        <f>5.83*(0.75/3.75)</f>
        <v>1.1660000000000001</v>
      </c>
      <c r="AB32" s="38">
        <f>AA32*C32</f>
        <v>5.830000000000001</v>
      </c>
      <c r="AC32" s="46">
        <v>10.788757966807843</v>
      </c>
      <c r="AD32" s="279">
        <f>AC32*$P32</f>
        <v>53.943789834039215</v>
      </c>
      <c r="AE32" s="80">
        <f>AA32/AC32</f>
        <v>0.10807546184530767</v>
      </c>
      <c r="AG32" s="58">
        <f>AG$17*($AA32/$AA$17)</f>
        <v>1.3225735138499846</v>
      </c>
      <c r="AH32" s="88">
        <f>AG32*U32</f>
        <v>2.5010865412585952</v>
      </c>
      <c r="AI32" s="46">
        <v>10.294613715196634</v>
      </c>
      <c r="AJ32" s="279">
        <f>AI32*$P32</f>
        <v>51.47306857598317</v>
      </c>
      <c r="AK32" s="80">
        <f>AG32/AI32</f>
        <v>0.12847237890020455</v>
      </c>
      <c r="AM32" s="58">
        <f>AM$17*($AA32/$AA$17)</f>
        <v>1.7827860566448801</v>
      </c>
      <c r="AN32" s="88">
        <f>AM32*AA32</f>
        <v>2.0787285420479304</v>
      </c>
      <c r="AO32" s="46">
        <v>6.9868453814773135</v>
      </c>
      <c r="AP32" s="279">
        <f>AO32*$P32</f>
        <v>34.934226907386567</v>
      </c>
      <c r="AQ32" s="80">
        <f>AM32/AO32</f>
        <v>0.25516323309102973</v>
      </c>
      <c r="AS32" s="58">
        <f>AS$17*($AA32/$AA$17)</f>
        <v>9.0772446778711497</v>
      </c>
      <c r="AT32" s="88">
        <f>AS32*AG32</f>
        <v>12.005323389688117</v>
      </c>
      <c r="AU32" s="46">
        <v>6.9498567028209024</v>
      </c>
      <c r="AV32" s="279">
        <f>AU32*$P32</f>
        <v>34.749283514104512</v>
      </c>
      <c r="AW32" s="80">
        <f>AS32/AU32</f>
        <v>1.306105300586522</v>
      </c>
    </row>
    <row r="33" spans="1:107" x14ac:dyDescent="0.2">
      <c r="A33" s="14" t="s">
        <v>256</v>
      </c>
      <c r="B33" s="14" t="s">
        <v>327</v>
      </c>
      <c r="C33" s="14">
        <v>0</v>
      </c>
      <c r="D33" s="3"/>
      <c r="E33" s="3"/>
      <c r="F33" s="3"/>
      <c r="G33" s="3"/>
      <c r="H33" s="3"/>
      <c r="I33" s="14" t="s">
        <v>256</v>
      </c>
      <c r="J33" s="19">
        <v>2.6</v>
      </c>
      <c r="K33" s="19" t="s">
        <v>327</v>
      </c>
      <c r="L33" s="19"/>
      <c r="M33" s="19"/>
      <c r="O33" s="14" t="s">
        <v>256</v>
      </c>
      <c r="P33" s="14">
        <v>0</v>
      </c>
      <c r="Q33" s="19" t="s">
        <v>327</v>
      </c>
      <c r="R33" s="19"/>
      <c r="S33" s="19"/>
      <c r="U33" s="56">
        <v>6.0525000000000002</v>
      </c>
      <c r="W33" s="254">
        <v>5.8740591356091265</v>
      </c>
      <c r="AA33" s="56">
        <v>8.8166666666666682</v>
      </c>
      <c r="AB33" s="35"/>
      <c r="AC33" s="46">
        <v>5.9340505352734514</v>
      </c>
      <c r="AE33" s="80">
        <f>AA33/AC33</f>
        <v>1.4857754604983964</v>
      </c>
      <c r="AG33" s="56">
        <v>3.4811111111111113</v>
      </c>
      <c r="AH33" s="75"/>
      <c r="AI33" s="46">
        <v>9.4895479485475978</v>
      </c>
      <c r="AK33" s="80">
        <f>AG33/AI33</f>
        <v>0.3668363477360273</v>
      </c>
      <c r="AM33" s="56">
        <v>4.3233333333333341</v>
      </c>
      <c r="AN33" s="75"/>
      <c r="AO33" s="46">
        <v>6.1121737790257731</v>
      </c>
      <c r="AQ33" s="80">
        <f>AM33/AO33</f>
        <v>0.70733154678439714</v>
      </c>
      <c r="AS33" s="56">
        <v>14.586666666666666</v>
      </c>
      <c r="AT33" s="75"/>
      <c r="AU33" s="46">
        <v>9.3881347752601521</v>
      </c>
      <c r="AW33" s="80">
        <f>AS33/AU33</f>
        <v>1.5537342630727689</v>
      </c>
    </row>
    <row r="34" spans="1:107" x14ac:dyDescent="0.2">
      <c r="A34" s="14" t="s">
        <v>257</v>
      </c>
      <c r="B34" s="14" t="s">
        <v>64</v>
      </c>
      <c r="C34" s="82">
        <v>2.6</v>
      </c>
      <c r="D34" s="3"/>
      <c r="E34" s="3"/>
      <c r="F34" s="3"/>
      <c r="G34" s="3"/>
      <c r="H34" s="3"/>
      <c r="I34" s="14" t="s">
        <v>257</v>
      </c>
      <c r="J34" s="19">
        <v>2.6</v>
      </c>
      <c r="K34" s="19" t="s">
        <v>116</v>
      </c>
      <c r="L34" s="19"/>
      <c r="M34" s="19"/>
      <c r="O34" s="82" t="s">
        <v>257</v>
      </c>
      <c r="P34" s="82">
        <v>2.6</v>
      </c>
      <c r="Q34" s="14" t="s">
        <v>64</v>
      </c>
      <c r="R34" s="19"/>
      <c r="S34" s="19"/>
      <c r="U34" s="56">
        <v>1.9391252881569567</v>
      </c>
      <c r="V34" s="88">
        <f>U34*C34</f>
        <v>5.041725749208088</v>
      </c>
      <c r="W34" s="254">
        <v>3.9925638960139134</v>
      </c>
      <c r="X34" s="273">
        <f>W34*$P34</f>
        <v>10.380666129636175</v>
      </c>
      <c r="Y34" s="280">
        <f>U34/W34</f>
        <v>0.48568422163335595</v>
      </c>
      <c r="AA34" s="56">
        <v>1.3529579507364478</v>
      </c>
      <c r="AB34" s="38">
        <f>AA34*C34</f>
        <v>3.5176906719147643</v>
      </c>
      <c r="AC34" s="46">
        <v>3.167784348700716</v>
      </c>
      <c r="AD34" s="273">
        <f>AC34*$P34</f>
        <v>8.2362393066218615</v>
      </c>
      <c r="AE34" s="80">
        <f>AA34/AC34</f>
        <v>0.42709913359202334</v>
      </c>
      <c r="AG34" s="56">
        <v>1.247576809607259</v>
      </c>
      <c r="AH34" s="88">
        <f>AG34*U34</f>
        <v>2.4192077404276131</v>
      </c>
      <c r="AI34" s="46">
        <v>4.8409251451339834</v>
      </c>
      <c r="AJ34" s="273">
        <f>AI34*$P34</f>
        <v>12.586405377348358</v>
      </c>
      <c r="AK34" s="80">
        <f>AG34/AI34</f>
        <v>0.25771454261409149</v>
      </c>
      <c r="AM34" s="56">
        <v>1.7088790118542843</v>
      </c>
      <c r="AN34" s="88">
        <f>AM34*AA34</f>
        <v>2.3120414459348981</v>
      </c>
      <c r="AO34" s="46">
        <v>4.6754758095458913</v>
      </c>
      <c r="AP34" s="273">
        <f>AO34*$P34</f>
        <v>12.156237104819319</v>
      </c>
      <c r="AQ34" s="80">
        <f>AM34/AO34</f>
        <v>0.36549841801454219</v>
      </c>
      <c r="AS34" s="56">
        <v>7.9303973110878916</v>
      </c>
      <c r="AT34" s="88">
        <f>AS34*AG34</f>
        <v>9.893779776285017</v>
      </c>
      <c r="AU34" s="46">
        <v>6.1451969183953334</v>
      </c>
      <c r="AV34" s="273">
        <f>AU34*$P34</f>
        <v>15.977511987827867</v>
      </c>
      <c r="AW34" s="80">
        <f>AS34/AU34</f>
        <v>1.2905033665151806</v>
      </c>
    </row>
    <row r="35" spans="1:107" x14ac:dyDescent="0.2">
      <c r="A35" s="14" t="s">
        <v>55</v>
      </c>
      <c r="B35" s="43" t="s">
        <v>258</v>
      </c>
      <c r="C35" s="14">
        <v>0</v>
      </c>
      <c r="D35" s="3"/>
      <c r="E35" s="3"/>
      <c r="F35" s="3"/>
      <c r="G35" s="3"/>
      <c r="H35" s="3"/>
      <c r="I35" s="14" t="s">
        <v>33</v>
      </c>
      <c r="J35" s="19">
        <v>0</v>
      </c>
      <c r="K35" s="19" t="s">
        <v>265</v>
      </c>
      <c r="L35" s="19"/>
      <c r="M35" s="19"/>
      <c r="O35" s="83" t="s">
        <v>33</v>
      </c>
      <c r="P35" s="83">
        <v>0</v>
      </c>
      <c r="Q35" s="108" t="s">
        <v>265</v>
      </c>
      <c r="R35" s="108"/>
      <c r="S35" s="108"/>
      <c r="U35" s="281"/>
      <c r="V35" s="282"/>
      <c r="W35" s="281"/>
      <c r="X35" s="74"/>
      <c r="Y35" s="83"/>
      <c r="Z35" s="14"/>
      <c r="AA35" s="281" t="s">
        <v>332</v>
      </c>
      <c r="AB35" s="74"/>
      <c r="AC35" s="74"/>
      <c r="AD35" s="74"/>
      <c r="AE35" s="74"/>
      <c r="AG35" s="281"/>
      <c r="AH35" s="74"/>
      <c r="AI35" s="281"/>
      <c r="AJ35" s="74"/>
      <c r="AK35" s="74"/>
      <c r="AL35" s="14" t="s">
        <v>27</v>
      </c>
      <c r="AM35" s="281" t="s">
        <v>405</v>
      </c>
      <c r="AN35" s="74"/>
      <c r="AO35" s="281"/>
      <c r="AP35" s="74"/>
      <c r="AQ35" s="74"/>
      <c r="AR35" s="14" t="s">
        <v>27</v>
      </c>
      <c r="AS35" s="281" t="s">
        <v>405</v>
      </c>
      <c r="AT35" s="74"/>
      <c r="AU35" s="281"/>
      <c r="AV35" s="74"/>
      <c r="AW35" s="74"/>
    </row>
    <row r="36" spans="1:107" x14ac:dyDescent="0.2">
      <c r="A36" s="3" t="s">
        <v>56</v>
      </c>
      <c r="B36" s="3" t="s">
        <v>327</v>
      </c>
      <c r="C36" s="14">
        <v>0</v>
      </c>
      <c r="D36" s="3">
        <v>3800</v>
      </c>
      <c r="E36" s="13">
        <v>0</v>
      </c>
      <c r="F36" s="28">
        <f>C36*D36/365</f>
        <v>0</v>
      </c>
      <c r="G36" s="13">
        <f t="shared" si="1"/>
        <v>0</v>
      </c>
      <c r="H36" s="28"/>
      <c r="I36" s="3" t="s">
        <v>259</v>
      </c>
      <c r="J36" s="5">
        <v>0</v>
      </c>
      <c r="K36" s="3" t="s">
        <v>327</v>
      </c>
      <c r="L36" s="3">
        <v>0</v>
      </c>
      <c r="M36" s="3">
        <v>0</v>
      </c>
      <c r="O36" s="240" t="s">
        <v>56</v>
      </c>
      <c r="P36" s="299">
        <f>2*1.0684</f>
        <v>2.1368</v>
      </c>
      <c r="Q36" s="3" t="s">
        <v>327</v>
      </c>
      <c r="R36" s="28">
        <f>$P36*D36/365</f>
        <v>22.246136986301369</v>
      </c>
      <c r="S36" s="28">
        <f>$P36*E36/365</f>
        <v>0</v>
      </c>
      <c r="W36" s="254">
        <v>6.8931031121859565</v>
      </c>
      <c r="X36" s="279">
        <f>W36*$P36</f>
        <v>14.729182730118952</v>
      </c>
      <c r="Y36" s="3"/>
      <c r="Z36" s="3"/>
      <c r="AA36" s="56" t="s">
        <v>26</v>
      </c>
      <c r="AC36" s="46">
        <v>6.6378283156398501</v>
      </c>
      <c r="AD36" s="279">
        <f>AC36*$P36</f>
        <v>14.183711544859232</v>
      </c>
      <c r="AG36" s="56" t="s">
        <v>26</v>
      </c>
      <c r="AI36" s="46">
        <v>9.9108280598689511</v>
      </c>
      <c r="AJ36" s="279">
        <f>AI36*$P36</f>
        <v>21.177457398327974</v>
      </c>
      <c r="AL36" s="3"/>
      <c r="AM36" s="56" t="s">
        <v>26</v>
      </c>
      <c r="AO36" s="46">
        <v>5.6546402502912239</v>
      </c>
      <c r="AP36" s="279">
        <f>AO36*$P36</f>
        <v>12.082835286822288</v>
      </c>
      <c r="AR36" s="3"/>
      <c r="AS36" s="56" t="s">
        <v>26</v>
      </c>
      <c r="AU36" s="46">
        <v>5.1924947254907963</v>
      </c>
      <c r="AV36" s="279">
        <f>AU36*$P36</f>
        <v>11.095322729428734</v>
      </c>
    </row>
    <row r="37" spans="1:107" x14ac:dyDescent="0.2">
      <c r="A37" s="3"/>
      <c r="B37" s="3"/>
      <c r="C37" s="3"/>
      <c r="D37" s="3"/>
      <c r="E37" s="3"/>
      <c r="F37" s="3"/>
      <c r="G37" s="3"/>
      <c r="H37" s="3"/>
      <c r="I37" s="3"/>
      <c r="J37" s="3"/>
      <c r="K37" s="3"/>
      <c r="L37" s="3"/>
      <c r="M37" s="3"/>
      <c r="O37" s="3"/>
      <c r="P37" s="3"/>
      <c r="Q37" s="3"/>
      <c r="R37" s="3"/>
      <c r="S37" s="3"/>
      <c r="W37" s="254"/>
    </row>
    <row r="38" spans="1:107" x14ac:dyDescent="0.2">
      <c r="A38" s="21"/>
      <c r="B38" s="21"/>
      <c r="C38" s="22" t="s">
        <v>260</v>
      </c>
      <c r="D38" s="21"/>
      <c r="E38" s="21"/>
      <c r="F38" s="21">
        <f>SUM(F9:F36)</f>
        <v>1941.7095890410956</v>
      </c>
      <c r="G38" s="21">
        <f>SUM(G9:G36)</f>
        <v>81.867123287671234</v>
      </c>
      <c r="H38" s="21"/>
      <c r="I38" s="3"/>
      <c r="J38" s="3"/>
      <c r="K38" s="3"/>
      <c r="L38" s="21">
        <f>SUM(L8:L36)</f>
        <v>1941.9758904109588</v>
      </c>
      <c r="M38" s="21">
        <f>SUM(M8:M36)</f>
        <v>80.263561643835629</v>
      </c>
      <c r="O38" s="22" t="s">
        <v>260</v>
      </c>
      <c r="P38" s="241"/>
      <c r="Q38" s="3"/>
      <c r="R38" s="241">
        <f>SUM(R8:R29)+R36</f>
        <v>1941.8894161025187</v>
      </c>
      <c r="S38" s="241">
        <f>SUM(S8:S29)+S36</f>
        <v>83.32575310649581</v>
      </c>
      <c r="V38" s="35">
        <f>V41/108.2</f>
        <v>1.3464392389161146</v>
      </c>
      <c r="W38" s="254"/>
      <c r="X38" s="279">
        <f>X41/108.2</f>
        <v>1.9483448944884927</v>
      </c>
      <c r="DC38" s="46">
        <v>4.951513014736272</v>
      </c>
    </row>
    <row r="39" spans="1:107" x14ac:dyDescent="0.2">
      <c r="I39" s="3"/>
      <c r="J39" s="3"/>
      <c r="K39" s="3"/>
      <c r="L39" s="3"/>
      <c r="M39" s="3"/>
      <c r="P39" s="3"/>
      <c r="Q39" s="3"/>
      <c r="R39" s="3"/>
      <c r="S39" s="3"/>
      <c r="V39" s="35">
        <f>V46/108.2</f>
        <v>2.030418393550034</v>
      </c>
      <c r="W39" s="254"/>
      <c r="X39" s="279">
        <f>X46/108.2</f>
        <v>10.376601327365336</v>
      </c>
      <c r="AB39" s="39"/>
      <c r="AC39" s="57"/>
    </row>
    <row r="40" spans="1:107" x14ac:dyDescent="0.2">
      <c r="I40" s="3"/>
      <c r="J40" s="3"/>
      <c r="K40" s="3"/>
      <c r="L40" s="3"/>
      <c r="M40" s="3"/>
      <c r="P40" s="3"/>
      <c r="Q40" s="3"/>
      <c r="R40" s="3"/>
      <c r="S40" s="3"/>
      <c r="U40" s="59" t="s">
        <v>34</v>
      </c>
      <c r="V40" s="39" t="s">
        <v>85</v>
      </c>
      <c r="W40" s="254"/>
      <c r="X40" s="121" t="s">
        <v>408</v>
      </c>
      <c r="AA40" s="59" t="s">
        <v>34</v>
      </c>
      <c r="AB40" s="39" t="s">
        <v>85</v>
      </c>
      <c r="AD40" s="121" t="s">
        <v>408</v>
      </c>
      <c r="AE40" s="23" t="s">
        <v>289</v>
      </c>
      <c r="AG40" s="59" t="s">
        <v>34</v>
      </c>
      <c r="AH40" s="39" t="s">
        <v>85</v>
      </c>
      <c r="AJ40" s="121" t="s">
        <v>408</v>
      </c>
      <c r="AK40" s="23" t="s">
        <v>289</v>
      </c>
      <c r="AM40" s="59" t="s">
        <v>34</v>
      </c>
      <c r="AN40" s="39" t="s">
        <v>85</v>
      </c>
      <c r="AO40" s="56"/>
      <c r="AP40" s="121" t="s">
        <v>408</v>
      </c>
      <c r="AQ40" s="86" t="s">
        <v>136</v>
      </c>
      <c r="AS40" s="59" t="s">
        <v>34</v>
      </c>
      <c r="AT40" s="39" t="s">
        <v>85</v>
      </c>
      <c r="AU40" s="56"/>
      <c r="AV40" s="121" t="s">
        <v>408</v>
      </c>
      <c r="AW40" s="86" t="s">
        <v>136</v>
      </c>
    </row>
    <row r="41" spans="1:107" x14ac:dyDescent="0.2">
      <c r="I41" s="3"/>
      <c r="J41" s="3"/>
      <c r="K41" s="3"/>
      <c r="L41" s="3"/>
      <c r="M41" s="3"/>
      <c r="P41"/>
      <c r="Q41"/>
      <c r="R41"/>
      <c r="S41"/>
      <c r="U41" s="9" t="s">
        <v>449</v>
      </c>
      <c r="V41" s="35">
        <f>SUM(V8:V36)</f>
        <v>145.68472565072361</v>
      </c>
      <c r="W41" s="254"/>
      <c r="X41" s="273">
        <f>SUM(X8:X36)</f>
        <v>210.81091758365491</v>
      </c>
      <c r="Y41" s="306">
        <f>V41/X41</f>
        <v>0.69106822037768678</v>
      </c>
      <c r="AA41" s="4"/>
      <c r="AB41" s="35">
        <f>SUM(AB8:AB36)</f>
        <v>90.393798844644934</v>
      </c>
      <c r="AD41" s="75">
        <f>SUM(AD8:AD36)</f>
        <v>207.3653290555709</v>
      </c>
      <c r="AE41" s="90">
        <f>AB41/AD41</f>
        <v>0.43591568203004999</v>
      </c>
      <c r="AG41" s="4"/>
      <c r="AH41" s="35">
        <f>SUM(AH8:AH36)</f>
        <v>96.762089344371319</v>
      </c>
      <c r="AJ41" s="75">
        <f>SUM(AJ8:AJ34)</f>
        <v>329.36766571233818</v>
      </c>
      <c r="AK41" s="89">
        <f>AH41/AJ41</f>
        <v>0.29378138602373011</v>
      </c>
      <c r="AM41" s="4"/>
      <c r="AN41" s="35">
        <f>SUM(AN8:AN36)</f>
        <v>123.54780997115131</v>
      </c>
      <c r="AO41" s="56"/>
      <c r="AP41" s="75">
        <f>SUM(AP8:AP34)</f>
        <v>293.71523202160444</v>
      </c>
      <c r="AQ41" s="89">
        <f>AN41/AP41</f>
        <v>0.42063807559719496</v>
      </c>
      <c r="AS41" s="4"/>
      <c r="AT41" s="35">
        <f>SUM(AT8:AT36)</f>
        <v>627.1138521604156</v>
      </c>
      <c r="AU41" s="56"/>
      <c r="AV41" s="75">
        <f>SUM(AV8:AV34)</f>
        <v>359.81133713423009</v>
      </c>
      <c r="AW41" s="89">
        <f>AT41/AV41</f>
        <v>1.7428963110366544</v>
      </c>
    </row>
    <row r="42" spans="1:107" x14ac:dyDescent="0.2">
      <c r="D42" s="78"/>
      <c r="I42" s="21"/>
      <c r="J42" s="21"/>
      <c r="K42" s="21"/>
      <c r="L42" s="21"/>
      <c r="M42" s="21"/>
      <c r="N42" s="21"/>
      <c r="O42" s="241"/>
      <c r="P42"/>
      <c r="Q42"/>
      <c r="R42"/>
      <c r="S42"/>
      <c r="T42" s="241"/>
      <c r="U42" s="21"/>
      <c r="W42" s="254"/>
      <c r="X42" s="254"/>
      <c r="Y42" s="254"/>
      <c r="Z42" s="254"/>
      <c r="AB42" s="56"/>
      <c r="AC42" s="56"/>
      <c r="AD42" s="56"/>
      <c r="AE42" s="56"/>
      <c r="AV42" s="56"/>
    </row>
    <row r="43" spans="1:107" s="91" customFormat="1" x14ac:dyDescent="0.2">
      <c r="O43" s="95"/>
      <c r="P43" s="95"/>
      <c r="Q43" s="95"/>
      <c r="R43" s="95"/>
      <c r="S43" s="95"/>
      <c r="T43" s="95"/>
      <c r="U43" s="92" t="s">
        <v>97</v>
      </c>
      <c r="V43" s="91">
        <v>75766.16230351961</v>
      </c>
      <c r="W43" s="182" t="s">
        <v>47</v>
      </c>
      <c r="X43" s="101">
        <v>67.23</v>
      </c>
      <c r="Y43" s="95"/>
      <c r="Z43" s="95"/>
      <c r="AA43" s="92" t="s">
        <v>97</v>
      </c>
      <c r="AB43" s="91">
        <v>83263.682436978459</v>
      </c>
      <c r="AC43" s="92" t="s">
        <v>47</v>
      </c>
      <c r="AD43" s="99">
        <v>91.06</v>
      </c>
      <c r="AG43" s="92" t="s">
        <v>97</v>
      </c>
      <c r="AH43" s="91">
        <v>92345.30688923964</v>
      </c>
      <c r="AI43" s="92" t="s">
        <v>47</v>
      </c>
      <c r="AJ43" s="99">
        <v>307.66000000000003</v>
      </c>
      <c r="AM43" s="92" t="s">
        <v>97</v>
      </c>
      <c r="AN43" s="91">
        <v>108538.52435677097</v>
      </c>
      <c r="AO43" s="92" t="s">
        <v>47</v>
      </c>
      <c r="AP43" s="101">
        <v>467.84</v>
      </c>
      <c r="AS43" s="92" t="s">
        <v>97</v>
      </c>
      <c r="AT43" s="91">
        <v>125830.35255262707</v>
      </c>
      <c r="AU43" s="92" t="s">
        <v>47</v>
      </c>
      <c r="AV43" s="101">
        <v>1026.1300000000001</v>
      </c>
    </row>
    <row r="44" spans="1:107" s="95" customFormat="1" x14ac:dyDescent="0.2">
      <c r="U44" s="96" t="s">
        <v>6</v>
      </c>
      <c r="V44" s="95">
        <f>V43*150*U17/1000</f>
        <v>6580.291196060678</v>
      </c>
      <c r="W44" s="182" t="s">
        <v>46</v>
      </c>
      <c r="X44" s="95">
        <f>X43*108.2</f>
        <v>7274.286000000001</v>
      </c>
      <c r="AA44" s="96" t="s">
        <v>6</v>
      </c>
      <c r="AB44" s="95">
        <f>AB43*150*AA17/1000</f>
        <v>4458.7701945001954</v>
      </c>
      <c r="AC44" s="96" t="s">
        <v>46</v>
      </c>
      <c r="AD44" s="95">
        <f>AD43*106.6</f>
        <v>9706.9959999999992</v>
      </c>
      <c r="AG44" s="96" t="s">
        <v>6</v>
      </c>
      <c r="AH44" s="95">
        <f>AH43*150*AG17/1000</f>
        <v>5609.1308948748219</v>
      </c>
      <c r="AI44" s="96" t="s">
        <v>46</v>
      </c>
      <c r="AJ44" s="95">
        <f>AJ43*100.5</f>
        <v>30919.83</v>
      </c>
      <c r="AM44" s="96" t="s">
        <v>6</v>
      </c>
      <c r="AN44" s="95">
        <f>AN43*150*AM17/1000</f>
        <v>8886.7725792512174</v>
      </c>
      <c r="AO44" s="96" t="s">
        <v>46</v>
      </c>
      <c r="AP44" s="95">
        <f>AP43*114.9</f>
        <v>53754.815999999999</v>
      </c>
      <c r="AS44" s="96" t="s">
        <v>6</v>
      </c>
      <c r="AT44" s="95">
        <f>AT43*150*AS17/1000</f>
        <v>52456.629235961242</v>
      </c>
      <c r="AU44" s="96" t="s">
        <v>46</v>
      </c>
      <c r="AV44" s="95">
        <f>AV43*114</f>
        <v>116978.82</v>
      </c>
    </row>
    <row r="45" spans="1:107" x14ac:dyDescent="0.2">
      <c r="U45" s="57" t="s">
        <v>58</v>
      </c>
      <c r="V45" s="93">
        <f>28.1*EXP(LN(31/28.1)/20)^13</f>
        <v>29.95244731666364</v>
      </c>
      <c r="W45" s="121" t="s">
        <v>58</v>
      </c>
      <c r="X45" s="273">
        <v>6.4790000000000001</v>
      </c>
      <c r="AA45" s="57" t="s">
        <v>58</v>
      </c>
      <c r="AB45" s="93">
        <v>30.9</v>
      </c>
      <c r="AC45" s="57" t="s">
        <v>58</v>
      </c>
      <c r="AD45" s="195">
        <v>7.2210000000000001</v>
      </c>
      <c r="AG45" s="57" t="s">
        <v>58</v>
      </c>
      <c r="AH45" s="93">
        <v>30.6</v>
      </c>
      <c r="AI45" s="57" t="s">
        <v>58</v>
      </c>
      <c r="AJ45" s="100">
        <v>10.614000000000001</v>
      </c>
      <c r="AM45" s="57" t="s">
        <v>58</v>
      </c>
      <c r="AN45" s="93">
        <v>32.5</v>
      </c>
      <c r="AO45" s="57" t="s">
        <v>58</v>
      </c>
      <c r="AP45" s="194">
        <v>20.646000000000001</v>
      </c>
      <c r="AS45" s="57" t="s">
        <v>58</v>
      </c>
      <c r="AT45" s="93">
        <f>32.5*EXP(LN(34.8/32.5)/24)^20</f>
        <v>34.405662917976564</v>
      </c>
      <c r="AU45" s="57" t="s">
        <v>58</v>
      </c>
      <c r="AV45" s="194">
        <v>25.838000000000001</v>
      </c>
    </row>
    <row r="46" spans="1:107" s="94" customFormat="1" x14ac:dyDescent="0.2">
      <c r="U46" s="97" t="s">
        <v>57</v>
      </c>
      <c r="V46" s="94">
        <f>V44/V45</f>
        <v>219.6912701821137</v>
      </c>
      <c r="W46" s="97" t="s">
        <v>57</v>
      </c>
      <c r="X46" s="94">
        <f>X44/X45</f>
        <v>1122.7482636209293</v>
      </c>
      <c r="Y46" s="306">
        <f>V46/X46</f>
        <v>0.19567277661476529</v>
      </c>
      <c r="AA46" s="97" t="s">
        <v>57</v>
      </c>
      <c r="AB46" s="94">
        <f>AB44/AB45</f>
        <v>144.29677004855003</v>
      </c>
      <c r="AC46" s="97" t="s">
        <v>57</v>
      </c>
      <c r="AD46" s="94">
        <f>AD44/AD45</f>
        <v>1344.2730923694778</v>
      </c>
      <c r="AE46" s="193">
        <f>AB46/AD46</f>
        <v>0.1073418569988676</v>
      </c>
      <c r="AG46" s="97" t="s">
        <v>57</v>
      </c>
      <c r="AH46" s="94">
        <f>AH44/AH45</f>
        <v>183.30493120505952</v>
      </c>
      <c r="AI46" s="97" t="s">
        <v>57</v>
      </c>
      <c r="AJ46" s="94">
        <f>AJ44/AJ45</f>
        <v>2913.1175805539851</v>
      </c>
      <c r="AK46" s="193">
        <f>AH46/AJ46</f>
        <v>6.2923972732401884E-2</v>
      </c>
      <c r="AM46" s="97" t="s">
        <v>57</v>
      </c>
      <c r="AN46" s="94">
        <f>AN44/AN45</f>
        <v>273.43915628465282</v>
      </c>
      <c r="AO46" s="97" t="s">
        <v>57</v>
      </c>
      <c r="AP46" s="94">
        <f>AP44/AP45</f>
        <v>2603.6431269979657</v>
      </c>
      <c r="AQ46" s="192">
        <f>AN46/AP46</f>
        <v>0.10502174950525256</v>
      </c>
      <c r="AS46" s="97" t="s">
        <v>57</v>
      </c>
      <c r="AT46" s="94">
        <f>AT44/AT45</f>
        <v>1524.6510250657968</v>
      </c>
      <c r="AU46" s="97" t="s">
        <v>57</v>
      </c>
      <c r="AV46" s="94">
        <f>AV44/AV45</f>
        <v>4527.3945351807415</v>
      </c>
      <c r="AW46" s="192">
        <f>AT46/AV46</f>
        <v>0.33676124605847502</v>
      </c>
    </row>
    <row r="47" spans="1:107" x14ac:dyDescent="0.2">
      <c r="U47" s="65" t="s">
        <v>121</v>
      </c>
      <c r="V47" s="310">
        <f>V46/V41</f>
        <v>1.5079911033969298</v>
      </c>
      <c r="W47" s="187" t="s">
        <v>121</v>
      </c>
      <c r="X47" s="275">
        <f>X46/X41</f>
        <v>5.3258544504716907</v>
      </c>
      <c r="Y47" s="306">
        <f>V47/X47</f>
        <v>0.28314538397934863</v>
      </c>
      <c r="AA47" s="65" t="s">
        <v>121</v>
      </c>
      <c r="AB47" s="310">
        <f>AB46/AB41</f>
        <v>1.5963127105272485</v>
      </c>
      <c r="AC47" s="65" t="s">
        <v>121</v>
      </c>
      <c r="AD47" s="98">
        <f>AD46/AD41</f>
        <v>6.4826318772374538</v>
      </c>
      <c r="AE47" s="193">
        <f>AB47/AD47</f>
        <v>0.24624454091437789</v>
      </c>
      <c r="AG47" s="65" t="s">
        <v>121</v>
      </c>
      <c r="AH47" s="310">
        <f>AH46/AH41</f>
        <v>1.8943878997143877</v>
      </c>
      <c r="AI47" s="65" t="s">
        <v>121</v>
      </c>
      <c r="AJ47" s="98">
        <f>AJ46/AJ41</f>
        <v>8.8445766959353929</v>
      </c>
      <c r="AK47" s="193">
        <f>AH47/AJ47</f>
        <v>0.21418638390969816</v>
      </c>
      <c r="AM47" s="65" t="s">
        <v>121</v>
      </c>
      <c r="AN47" s="310">
        <f>AN46/AN41</f>
        <v>2.2132254416205472</v>
      </c>
      <c r="AO47" s="65" t="s">
        <v>121</v>
      </c>
      <c r="AP47" s="102">
        <f>AP46/AP41</f>
        <v>8.864515160066512</v>
      </c>
      <c r="AQ47" s="192">
        <f>AN47/AP47</f>
        <v>0.24967247521791605</v>
      </c>
      <c r="AS47" s="65" t="s">
        <v>121</v>
      </c>
      <c r="AT47" s="310">
        <f>AT46/AT41</f>
        <v>2.4312188605200693</v>
      </c>
      <c r="AU47" s="65" t="s">
        <v>121</v>
      </c>
      <c r="AV47" s="102">
        <f>AV46/AV41</f>
        <v>12.582690059851465</v>
      </c>
      <c r="AW47" s="192">
        <f>AT47/AV47</f>
        <v>0.19321932344797571</v>
      </c>
    </row>
    <row r="48" spans="1:107" x14ac:dyDescent="0.2">
      <c r="W48" s="254"/>
    </row>
    <row r="49" spans="1:49" x14ac:dyDescent="0.2">
      <c r="A49" s="24" t="s">
        <v>288</v>
      </c>
      <c r="B49" s="25"/>
      <c r="C49" s="25"/>
      <c r="D49" s="25"/>
      <c r="E49" s="25"/>
      <c r="F49" s="25"/>
      <c r="G49" s="25"/>
      <c r="H49" s="25"/>
      <c r="I49" s="25"/>
      <c r="J49" s="25"/>
      <c r="K49" s="25"/>
      <c r="L49" s="25"/>
      <c r="M49" s="25"/>
      <c r="N49" s="26"/>
      <c r="O49" s="26"/>
      <c r="P49" s="26"/>
      <c r="Q49" s="26"/>
      <c r="R49" s="26"/>
      <c r="S49" s="26"/>
      <c r="T49" s="26"/>
      <c r="U49" s="66"/>
      <c r="V49" s="40"/>
      <c r="W49" s="62"/>
      <c r="X49" s="24" t="s">
        <v>288</v>
      </c>
      <c r="Y49" s="25"/>
      <c r="Z49" s="25"/>
      <c r="AA49" s="63"/>
      <c r="AB49" s="27"/>
      <c r="AC49" s="51"/>
      <c r="AD49" s="27"/>
      <c r="AE49" s="24" t="s">
        <v>288</v>
      </c>
      <c r="AF49" s="25"/>
      <c r="AG49" s="62"/>
      <c r="AH49" s="27"/>
      <c r="AI49" s="51"/>
      <c r="AJ49" s="27"/>
      <c r="AK49" s="27"/>
      <c r="AL49" s="27"/>
      <c r="AM49" s="319" t="s">
        <v>145</v>
      </c>
      <c r="AN49" s="319"/>
      <c r="AO49" s="52"/>
      <c r="AP49" s="42"/>
      <c r="AQ49" s="42"/>
      <c r="AR49" s="42"/>
      <c r="AS49" s="319" t="s">
        <v>145</v>
      </c>
      <c r="AT49" s="319"/>
      <c r="AU49" s="53"/>
      <c r="AV49" s="42"/>
      <c r="AW49" s="42"/>
    </row>
    <row r="50" spans="1:49" x14ac:dyDescent="0.2">
      <c r="B50" s="4" t="s">
        <v>324</v>
      </c>
      <c r="D50" s="4" t="s">
        <v>286</v>
      </c>
      <c r="E50" s="4" t="s">
        <v>290</v>
      </c>
      <c r="G50" s="4" t="s">
        <v>412</v>
      </c>
      <c r="I50" s="315" t="s">
        <v>393</v>
      </c>
      <c r="U50" s="259" t="s">
        <v>362</v>
      </c>
      <c r="V50" s="35" t="s">
        <v>187</v>
      </c>
      <c r="W50" s="254" t="s">
        <v>319</v>
      </c>
      <c r="X50" s="4" t="s">
        <v>320</v>
      </c>
      <c r="Y50" s="5"/>
      <c r="Z50" s="5"/>
      <c r="AA50" s="259" t="s">
        <v>362</v>
      </c>
      <c r="AB50" s="260" t="s">
        <v>405</v>
      </c>
      <c r="AE50" s="4" t="s">
        <v>324</v>
      </c>
      <c r="AG50" s="259" t="s">
        <v>392</v>
      </c>
      <c r="AH50" s="4" t="s">
        <v>404</v>
      </c>
      <c r="AJ50" s="4" t="s">
        <v>324</v>
      </c>
      <c r="AP50" s="4" t="s">
        <v>320</v>
      </c>
      <c r="AT50" s="4" t="s">
        <v>74</v>
      </c>
      <c r="AV50" s="4" t="s">
        <v>26</v>
      </c>
    </row>
    <row r="51" spans="1:49" x14ac:dyDescent="0.2">
      <c r="A51" s="4" t="s">
        <v>323</v>
      </c>
      <c r="B51" s="4" t="s">
        <v>324</v>
      </c>
      <c r="C51" s="4" t="s">
        <v>285</v>
      </c>
      <c r="D51" s="4" t="s">
        <v>286</v>
      </c>
      <c r="G51" s="4" t="s">
        <v>412</v>
      </c>
      <c r="I51" s="315" t="s">
        <v>401</v>
      </c>
      <c r="U51" s="261" t="s">
        <v>383</v>
      </c>
      <c r="V51" s="239" t="s">
        <v>63</v>
      </c>
      <c r="W51" s="5"/>
      <c r="X51" s="5"/>
      <c r="Y51" s="5"/>
      <c r="Z51" s="5"/>
      <c r="AA51" s="261" t="s">
        <v>383</v>
      </c>
      <c r="AB51" s="260" t="s">
        <v>405</v>
      </c>
      <c r="AC51" s="4" t="s">
        <v>24</v>
      </c>
      <c r="AE51" s="4" t="s">
        <v>324</v>
      </c>
      <c r="AG51" s="261" t="s">
        <v>383</v>
      </c>
      <c r="AH51" s="4" t="s">
        <v>404</v>
      </c>
      <c r="AJ51" s="4" t="s">
        <v>324</v>
      </c>
      <c r="AO51" s="56" t="s">
        <v>104</v>
      </c>
      <c r="AP51" s="4" t="s">
        <v>320</v>
      </c>
      <c r="AS51" s="254" t="s">
        <v>333</v>
      </c>
      <c r="AT51" s="4" t="s">
        <v>74</v>
      </c>
    </row>
    <row r="52" spans="1:49" x14ac:dyDescent="0.2">
      <c r="B52" s="4" t="s">
        <v>324</v>
      </c>
      <c r="D52" s="4" t="s">
        <v>286</v>
      </c>
      <c r="E52" s="4" t="s">
        <v>293</v>
      </c>
      <c r="G52" s="4" t="s">
        <v>412</v>
      </c>
      <c r="I52" s="315" t="s">
        <v>402</v>
      </c>
      <c r="U52" s="261" t="s">
        <v>334</v>
      </c>
      <c r="V52" s="239" t="s">
        <v>63</v>
      </c>
      <c r="AA52" s="261" t="s">
        <v>334</v>
      </c>
      <c r="AB52" s="260" t="s">
        <v>405</v>
      </c>
      <c r="AC52" s="4" t="s">
        <v>320</v>
      </c>
      <c r="AE52" s="4" t="s">
        <v>324</v>
      </c>
      <c r="AG52" s="261" t="s">
        <v>334</v>
      </c>
      <c r="AH52" s="4" t="s">
        <v>404</v>
      </c>
      <c r="AI52" s="56" t="s">
        <v>54</v>
      </c>
      <c r="AJ52" s="4" t="s">
        <v>324</v>
      </c>
      <c r="AP52" s="4" t="s">
        <v>320</v>
      </c>
      <c r="AS52" s="254" t="s">
        <v>397</v>
      </c>
      <c r="AT52" s="4" t="s">
        <v>74</v>
      </c>
      <c r="AU52" s="46" t="s">
        <v>25</v>
      </c>
    </row>
    <row r="53" spans="1:49" x14ac:dyDescent="0.2">
      <c r="B53" s="4" t="s">
        <v>324</v>
      </c>
      <c r="C53" s="4" t="s">
        <v>412</v>
      </c>
      <c r="D53" s="4" t="s">
        <v>286</v>
      </c>
      <c r="E53" s="4" t="s">
        <v>90</v>
      </c>
      <c r="G53" s="4" t="s">
        <v>412</v>
      </c>
      <c r="I53" s="315" t="s">
        <v>403</v>
      </c>
      <c r="U53" s="67"/>
      <c r="V53" s="239" t="s">
        <v>63</v>
      </c>
      <c r="AA53" s="261"/>
      <c r="AB53" s="260"/>
      <c r="AC53" s="4" t="s">
        <v>177</v>
      </c>
      <c r="AE53" s="4" t="s">
        <v>324</v>
      </c>
      <c r="AH53" s="4" t="s">
        <v>404</v>
      </c>
      <c r="AJ53" s="4" t="s">
        <v>324</v>
      </c>
      <c r="AP53" s="4" t="s">
        <v>320</v>
      </c>
      <c r="AT53" s="4" t="s">
        <v>74</v>
      </c>
    </row>
    <row r="54" spans="1:49" x14ac:dyDescent="0.2">
      <c r="A54" s="56" t="s">
        <v>231</v>
      </c>
      <c r="C54" s="4" t="s">
        <v>412</v>
      </c>
      <c r="D54" s="4" t="s">
        <v>286</v>
      </c>
      <c r="E54" s="4" t="s">
        <v>91</v>
      </c>
      <c r="G54" s="4" t="s">
        <v>412</v>
      </c>
      <c r="U54" s="4" t="s">
        <v>311</v>
      </c>
      <c r="V54" s="239" t="s">
        <v>74</v>
      </c>
      <c r="AA54" s="261" t="s">
        <v>398</v>
      </c>
      <c r="AB54" s="260" t="s">
        <v>405</v>
      </c>
      <c r="AC54" s="46" t="s">
        <v>152</v>
      </c>
      <c r="AE54" s="4" t="s">
        <v>324</v>
      </c>
      <c r="AH54" s="4" t="s">
        <v>404</v>
      </c>
      <c r="AJ54" s="4" t="s">
        <v>324</v>
      </c>
      <c r="AP54" s="4" t="s">
        <v>320</v>
      </c>
      <c r="AT54" s="4" t="s">
        <v>74</v>
      </c>
    </row>
    <row r="55" spans="1:49" x14ac:dyDescent="0.2">
      <c r="A55" s="56" t="s">
        <v>98</v>
      </c>
      <c r="C55" s="4" t="s">
        <v>412</v>
      </c>
      <c r="F55" s="4" t="s">
        <v>291</v>
      </c>
      <c r="G55" s="4" t="s">
        <v>412</v>
      </c>
      <c r="U55" s="4" t="s">
        <v>312</v>
      </c>
      <c r="V55" s="239" t="s">
        <v>74</v>
      </c>
      <c r="AA55" s="261" t="s">
        <v>389</v>
      </c>
      <c r="AB55" s="260" t="s">
        <v>405</v>
      </c>
      <c r="AC55" s="56" t="s">
        <v>86</v>
      </c>
      <c r="AE55" s="4" t="s">
        <v>324</v>
      </c>
      <c r="AH55" s="4" t="s">
        <v>404</v>
      </c>
      <c r="AJ55" s="4" t="s">
        <v>324</v>
      </c>
      <c r="AP55" s="4" t="s">
        <v>320</v>
      </c>
      <c r="AT55" s="4" t="s">
        <v>74</v>
      </c>
    </row>
    <row r="56" spans="1:49" x14ac:dyDescent="0.2">
      <c r="A56" s="56" t="s">
        <v>170</v>
      </c>
      <c r="C56" s="4" t="s">
        <v>412</v>
      </c>
      <c r="F56" s="4" t="s">
        <v>291</v>
      </c>
      <c r="U56" s="78"/>
      <c r="V56" s="239" t="s">
        <v>74</v>
      </c>
      <c r="AA56" s="67"/>
      <c r="AB56" s="260" t="s">
        <v>405</v>
      </c>
      <c r="AC56" s="56" t="s">
        <v>178</v>
      </c>
      <c r="AE56" s="4" t="s">
        <v>324</v>
      </c>
      <c r="AH56" s="4" t="s">
        <v>404</v>
      </c>
      <c r="AJ56" s="4" t="s">
        <v>324</v>
      </c>
      <c r="AP56" s="4" t="s">
        <v>320</v>
      </c>
      <c r="AT56" s="4" t="s">
        <v>74</v>
      </c>
      <c r="AV56" s="4" t="s">
        <v>26</v>
      </c>
    </row>
    <row r="57" spans="1:49" x14ac:dyDescent="0.2">
      <c r="A57" s="56" t="s">
        <v>127</v>
      </c>
      <c r="C57" s="4" t="s">
        <v>412</v>
      </c>
      <c r="F57" s="4" t="s">
        <v>291</v>
      </c>
      <c r="U57" s="78" t="s">
        <v>21</v>
      </c>
      <c r="V57" s="239" t="s">
        <v>74</v>
      </c>
      <c r="AA57" s="67" t="s">
        <v>399</v>
      </c>
      <c r="AB57" s="4" t="s">
        <v>63</v>
      </c>
      <c r="AC57" s="56" t="s">
        <v>166</v>
      </c>
      <c r="AE57" s="4" t="s">
        <v>324</v>
      </c>
      <c r="AH57" s="4" t="s">
        <v>404</v>
      </c>
      <c r="AJ57" s="4" t="s">
        <v>324</v>
      </c>
      <c r="AP57" s="4" t="s">
        <v>320</v>
      </c>
      <c r="AT57" s="4" t="s">
        <v>74</v>
      </c>
      <c r="AU57" s="254"/>
      <c r="AV57" s="4" t="s">
        <v>26</v>
      </c>
    </row>
    <row r="58" spans="1:49" x14ac:dyDescent="0.2">
      <c r="A58" s="56" t="s">
        <v>111</v>
      </c>
      <c r="C58" s="4" t="s">
        <v>412</v>
      </c>
      <c r="F58" s="4" t="s">
        <v>291</v>
      </c>
      <c r="U58" s="79" t="s">
        <v>400</v>
      </c>
      <c r="V58" s="239" t="s">
        <v>74</v>
      </c>
      <c r="AA58" s="58" t="s">
        <v>71</v>
      </c>
      <c r="AB58" s="4" t="s">
        <v>63</v>
      </c>
      <c r="AC58" s="71">
        <v>6.7808649940556336</v>
      </c>
      <c r="AD58" s="4">
        <f>AC34/AC58</f>
        <v>0.46716522913783382</v>
      </c>
      <c r="AE58" s="4" t="s">
        <v>324</v>
      </c>
      <c r="AH58" s="4" t="s">
        <v>404</v>
      </c>
      <c r="AJ58" s="4" t="s">
        <v>324</v>
      </c>
      <c r="AP58" s="4" t="s">
        <v>320</v>
      </c>
      <c r="AT58" s="4" t="s">
        <v>74</v>
      </c>
      <c r="AV58" s="4" t="s">
        <v>26</v>
      </c>
    </row>
    <row r="59" spans="1:49" x14ac:dyDescent="0.2">
      <c r="A59" s="4" t="s">
        <v>314</v>
      </c>
      <c r="C59" s="4" t="s">
        <v>412</v>
      </c>
      <c r="F59" s="4" t="s">
        <v>291</v>
      </c>
      <c r="U59" s="56" t="s">
        <v>196</v>
      </c>
      <c r="V59" s="239" t="s">
        <v>74</v>
      </c>
      <c r="AA59" s="4"/>
      <c r="AB59" s="4" t="s">
        <v>63</v>
      </c>
      <c r="AE59" s="4" t="s">
        <v>324</v>
      </c>
      <c r="AJ59" s="4" t="s">
        <v>324</v>
      </c>
      <c r="AP59" s="4" t="s">
        <v>320</v>
      </c>
      <c r="AT59" s="4" t="s">
        <v>74</v>
      </c>
      <c r="AV59" s="4" t="s">
        <v>26</v>
      </c>
    </row>
    <row r="60" spans="1:49" x14ac:dyDescent="0.2">
      <c r="C60" s="4" t="s">
        <v>412</v>
      </c>
      <c r="U60" s="56" t="s">
        <v>62</v>
      </c>
      <c r="V60" s="239" t="s">
        <v>74</v>
      </c>
      <c r="AA60" s="4" t="s">
        <v>75</v>
      </c>
      <c r="AB60" s="4" t="s">
        <v>63</v>
      </c>
      <c r="AE60" s="4" t="s">
        <v>324</v>
      </c>
      <c r="AJ60" s="4" t="s">
        <v>324</v>
      </c>
      <c r="AP60" s="4" t="s">
        <v>320</v>
      </c>
      <c r="AT60" s="4" t="s">
        <v>74</v>
      </c>
      <c r="AV60" s="4" t="s">
        <v>26</v>
      </c>
    </row>
    <row r="61" spans="1:49" x14ac:dyDescent="0.2">
      <c r="B61" s="4" t="s">
        <v>151</v>
      </c>
      <c r="C61" s="4" t="s">
        <v>412</v>
      </c>
      <c r="V61" s="239" t="s">
        <v>74</v>
      </c>
      <c r="AA61" s="4"/>
      <c r="AE61" s="4" t="s">
        <v>324</v>
      </c>
      <c r="AJ61" s="4" t="s">
        <v>324</v>
      </c>
      <c r="AP61" s="4" t="s">
        <v>320</v>
      </c>
      <c r="AT61" s="4" t="s">
        <v>74</v>
      </c>
      <c r="AV61" s="4" t="s">
        <v>26</v>
      </c>
    </row>
    <row r="62" spans="1:49" x14ac:dyDescent="0.2">
      <c r="B62" s="4" t="s">
        <v>151</v>
      </c>
      <c r="U62" s="56" t="s">
        <v>45</v>
      </c>
      <c r="V62" s="239" t="s">
        <v>74</v>
      </c>
      <c r="AA62" s="56" t="s">
        <v>231</v>
      </c>
      <c r="AB62" s="4" t="s">
        <v>151</v>
      </c>
      <c r="AE62" s="4" t="s">
        <v>324</v>
      </c>
      <c r="AJ62" s="4" t="s">
        <v>324</v>
      </c>
      <c r="AP62" s="4" t="s">
        <v>320</v>
      </c>
      <c r="AT62" s="4" t="s">
        <v>74</v>
      </c>
      <c r="AV62" s="4" t="s">
        <v>26</v>
      </c>
    </row>
    <row r="63" spans="1:49" x14ac:dyDescent="0.2">
      <c r="B63" s="4" t="s">
        <v>151</v>
      </c>
      <c r="U63" s="56" t="s">
        <v>37</v>
      </c>
      <c r="V63" s="75" t="s">
        <v>187</v>
      </c>
      <c r="AA63" s="56" t="s">
        <v>98</v>
      </c>
      <c r="AB63" s="4" t="s">
        <v>151</v>
      </c>
      <c r="AE63" s="4" t="s">
        <v>324</v>
      </c>
      <c r="AJ63" s="4" t="s">
        <v>324</v>
      </c>
      <c r="AP63" s="4" t="s">
        <v>320</v>
      </c>
      <c r="AT63" s="4" t="s">
        <v>74</v>
      </c>
      <c r="AV63" s="4" t="s">
        <v>26</v>
      </c>
    </row>
    <row r="64" spans="1:49" x14ac:dyDescent="0.2">
      <c r="U64" s="64" t="s">
        <v>70</v>
      </c>
      <c r="V64" s="75" t="s">
        <v>187</v>
      </c>
      <c r="AA64" s="56" t="s">
        <v>170</v>
      </c>
      <c r="AB64" s="4" t="s">
        <v>151</v>
      </c>
      <c r="AE64" s="4" t="s">
        <v>324</v>
      </c>
      <c r="AJ64" s="4" t="s">
        <v>324</v>
      </c>
      <c r="AP64" s="4" t="s">
        <v>320</v>
      </c>
      <c r="AT64" s="4" t="s">
        <v>74</v>
      </c>
      <c r="AV64" s="4" t="s">
        <v>26</v>
      </c>
    </row>
    <row r="65" spans="21:48" x14ac:dyDescent="0.2">
      <c r="U65" s="56" t="s">
        <v>22</v>
      </c>
      <c r="V65" s="75" t="s">
        <v>187</v>
      </c>
      <c r="AA65" s="56" t="s">
        <v>127</v>
      </c>
      <c r="AB65" s="4" t="s">
        <v>151</v>
      </c>
      <c r="AE65" s="4" t="s">
        <v>324</v>
      </c>
      <c r="AJ65" s="4" t="s">
        <v>324</v>
      </c>
      <c r="AP65" s="4" t="s">
        <v>320</v>
      </c>
      <c r="AV65" s="4" t="s">
        <v>26</v>
      </c>
    </row>
    <row r="66" spans="21:48" x14ac:dyDescent="0.2">
      <c r="V66" s="75" t="s">
        <v>187</v>
      </c>
      <c r="AA66" s="56" t="s">
        <v>111</v>
      </c>
      <c r="AB66" s="4" t="s">
        <v>151</v>
      </c>
      <c r="AE66" s="4" t="s">
        <v>324</v>
      </c>
      <c r="AJ66" s="4" t="s">
        <v>324</v>
      </c>
      <c r="AP66" s="4" t="s">
        <v>320</v>
      </c>
    </row>
    <row r="67" spans="21:48" x14ac:dyDescent="0.2">
      <c r="U67" s="56" t="s">
        <v>14</v>
      </c>
      <c r="V67" s="75" t="s">
        <v>187</v>
      </c>
      <c r="AA67" s="284"/>
      <c r="AC67" s="284"/>
      <c r="AG67" s="284"/>
      <c r="AJ67" s="4" t="s">
        <v>324</v>
      </c>
      <c r="AP67" s="4" t="s">
        <v>320</v>
      </c>
    </row>
    <row r="68" spans="21:48" ht="20" x14ac:dyDescent="0.2">
      <c r="V68" s="75" t="s">
        <v>187</v>
      </c>
      <c r="Z68" s="308"/>
      <c r="AA68" s="309" t="s">
        <v>437</v>
      </c>
      <c r="AB68" s="308"/>
      <c r="AC68" s="307"/>
      <c r="AD68" s="308"/>
      <c r="AE68" s="308"/>
      <c r="AF68" s="308"/>
      <c r="AJ68" s="4" t="s">
        <v>324</v>
      </c>
      <c r="AP68" s="4" t="s">
        <v>320</v>
      </c>
    </row>
    <row r="69" spans="21:48" x14ac:dyDescent="0.2">
      <c r="U69" s="254" t="s">
        <v>453</v>
      </c>
      <c r="V69" s="75" t="s">
        <v>187</v>
      </c>
      <c r="Z69" s="308"/>
      <c r="AA69" s="56" t="s">
        <v>434</v>
      </c>
      <c r="AJ69" s="4" t="s">
        <v>324</v>
      </c>
      <c r="AP69" s="4" t="s">
        <v>320</v>
      </c>
    </row>
    <row r="70" spans="21:48" x14ac:dyDescent="0.2">
      <c r="V70" s="75" t="s">
        <v>187</v>
      </c>
      <c r="Z70" s="308"/>
      <c r="AA70" s="56" t="s">
        <v>438</v>
      </c>
      <c r="AJ70" s="4" t="s">
        <v>324</v>
      </c>
      <c r="AP70" s="4" t="s">
        <v>320</v>
      </c>
    </row>
    <row r="71" spans="21:48" x14ac:dyDescent="0.2">
      <c r="Z71" s="308"/>
      <c r="AA71" s="56" t="s">
        <v>426</v>
      </c>
      <c r="AJ71" s="4" t="s">
        <v>324</v>
      </c>
      <c r="AP71" s="4" t="s">
        <v>320</v>
      </c>
    </row>
    <row r="72" spans="21:48" x14ac:dyDescent="0.2">
      <c r="Z72" s="308"/>
      <c r="AA72" s="284" t="s">
        <v>427</v>
      </c>
      <c r="AC72" s="284"/>
      <c r="AG72" s="284"/>
    </row>
    <row r="73" spans="21:48" x14ac:dyDescent="0.2">
      <c r="Z73" s="308"/>
    </row>
    <row r="74" spans="21:48" x14ac:dyDescent="0.2">
      <c r="Z74" s="308"/>
      <c r="AA74" s="121" t="s">
        <v>423</v>
      </c>
      <c r="AB74" s="12">
        <f>AB44-(0.75*AB45*AB41)</f>
        <v>2363.8939062755494</v>
      </c>
      <c r="AC74" s="121" t="s">
        <v>424</v>
      </c>
      <c r="AD74" s="12">
        <f>AD44-(0.75*AD45*AD41)</f>
        <v>8583.9572191672905</v>
      </c>
      <c r="AE74" s="4" t="s">
        <v>425</v>
      </c>
    </row>
    <row r="75" spans="21:48" x14ac:dyDescent="0.2">
      <c r="Z75" s="308"/>
      <c r="AA75" s="121" t="s">
        <v>428</v>
      </c>
      <c r="AB75" s="178">
        <f>(AB74/AB45)</f>
        <v>76.501420915066333</v>
      </c>
      <c r="AC75" s="121" t="s">
        <v>428</v>
      </c>
      <c r="AD75" s="178">
        <f>(AD74/AD45)</f>
        <v>1188.7490955777996</v>
      </c>
      <c r="AE75" s="4" t="s">
        <v>429</v>
      </c>
    </row>
    <row r="76" spans="21:48" x14ac:dyDescent="0.2">
      <c r="Z76" s="308"/>
    </row>
    <row r="77" spans="21:48" x14ac:dyDescent="0.2">
      <c r="Z77" s="308"/>
      <c r="AA77" s="56" t="s">
        <v>431</v>
      </c>
      <c r="AC77" s="279">
        <f>100*AB75/AD75</f>
        <v>6.4354556566776857</v>
      </c>
      <c r="AD77" s="4" t="s">
        <v>430</v>
      </c>
    </row>
    <row r="78" spans="21:48" x14ac:dyDescent="0.2">
      <c r="Z78" s="308"/>
      <c r="AA78" s="56" t="s">
        <v>447</v>
      </c>
    </row>
    <row r="79" spans="21:48" x14ac:dyDescent="0.2">
      <c r="Z79" s="308"/>
      <c r="AA79" s="56" t="s">
        <v>446</v>
      </c>
    </row>
    <row r="80" spans="21:48" x14ac:dyDescent="0.2">
      <c r="Z80" s="308"/>
      <c r="AA80" s="56" t="s">
        <v>435</v>
      </c>
    </row>
    <row r="81" spans="26:32" x14ac:dyDescent="0.2">
      <c r="Z81" s="308"/>
      <c r="AA81" s="56" t="s">
        <v>436</v>
      </c>
    </row>
    <row r="82" spans="26:32" x14ac:dyDescent="0.2">
      <c r="Z82" s="308"/>
      <c r="AA82" s="56" t="s">
        <v>432</v>
      </c>
    </row>
    <row r="83" spans="26:32" x14ac:dyDescent="0.2">
      <c r="Z83" s="308"/>
      <c r="AA83" s="56" t="s">
        <v>433</v>
      </c>
    </row>
    <row r="84" spans="26:32" x14ac:dyDescent="0.2">
      <c r="Z84" s="308"/>
      <c r="AA84" s="56" t="s">
        <v>444</v>
      </c>
    </row>
    <row r="85" spans="26:32" x14ac:dyDescent="0.2">
      <c r="Z85" s="308"/>
    </row>
    <row r="86" spans="26:32" x14ac:dyDescent="0.2">
      <c r="Z86" s="308"/>
      <c r="AA86" s="56" t="s">
        <v>445</v>
      </c>
    </row>
    <row r="87" spans="26:32" x14ac:dyDescent="0.2">
      <c r="Z87" s="308"/>
    </row>
    <row r="88" spans="26:32" x14ac:dyDescent="0.2">
      <c r="Z88" s="308"/>
      <c r="AA88" s="56" t="s">
        <v>439</v>
      </c>
    </row>
    <row r="89" spans="26:32" x14ac:dyDescent="0.2">
      <c r="Z89" s="308"/>
      <c r="AA89" s="56" t="s">
        <v>441</v>
      </c>
    </row>
    <row r="90" spans="26:32" x14ac:dyDescent="0.2">
      <c r="Z90" s="308"/>
      <c r="AA90" s="284" t="s">
        <v>442</v>
      </c>
    </row>
    <row r="91" spans="26:32" x14ac:dyDescent="0.2">
      <c r="Z91" s="308"/>
      <c r="AA91" s="284" t="s">
        <v>440</v>
      </c>
    </row>
    <row r="92" spans="26:32" x14ac:dyDescent="0.2">
      <c r="Z92" s="308"/>
      <c r="AA92" s="284" t="s">
        <v>443</v>
      </c>
    </row>
    <row r="93" spans="26:32" x14ac:dyDescent="0.2">
      <c r="Z93" s="308"/>
    </row>
    <row r="94" spans="26:32" x14ac:dyDescent="0.2">
      <c r="Z94" s="308"/>
    </row>
    <row r="95" spans="26:32" x14ac:dyDescent="0.2">
      <c r="Z95" s="308"/>
      <c r="AA95" s="307"/>
      <c r="AB95" s="308"/>
      <c r="AC95" s="307"/>
      <c r="AD95" s="308"/>
      <c r="AE95" s="308"/>
      <c r="AF95" s="308"/>
    </row>
  </sheetData>
  <mergeCells count="4">
    <mergeCell ref="AM6:AQ6"/>
    <mergeCell ref="AS6:AW6"/>
    <mergeCell ref="AM49:AN49"/>
    <mergeCell ref="AS49:AT49"/>
  </mergeCells>
  <phoneticPr fontId="1" type="noConversion"/>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
  <sheetViews>
    <sheetView zoomScale="115" workbookViewId="0">
      <pane xSplit="7960" ySplit="4300" topLeftCell="F35"/>
      <selection activeCell="A4" sqref="A4"/>
      <selection pane="topRight" activeCell="E1" sqref="E1"/>
      <selection pane="bottomLeft" activeCell="A4" sqref="A4"/>
      <selection pane="bottomRight" activeCell="G13" sqref="G13"/>
    </sheetView>
  </sheetViews>
  <sheetFormatPr baseColWidth="10" defaultColWidth="10.6640625" defaultRowHeight="16" x14ac:dyDescent="0.2"/>
  <cols>
    <col min="1" max="7" width="10.6640625" style="110"/>
    <col min="8" max="8" width="3.6640625" style="110" customWidth="1"/>
    <col min="9" max="10" width="9.6640625" style="110" customWidth="1"/>
    <col min="11" max="11" width="6.5" style="110" customWidth="1"/>
    <col min="12" max="12" width="9.6640625" style="110" customWidth="1"/>
    <col min="13" max="13" width="11.83203125" style="110" customWidth="1"/>
    <col min="14" max="14" width="3.6640625" style="110" customWidth="1"/>
    <col min="15" max="15" width="16.5" style="115" customWidth="1"/>
    <col min="16" max="16" width="16.5" style="141" customWidth="1"/>
    <col min="17" max="17" width="12.83203125" style="110" customWidth="1"/>
    <col min="18" max="18" width="12.6640625" style="110" customWidth="1"/>
    <col min="19" max="19" width="10.83203125" style="110" customWidth="1"/>
    <col min="20" max="20" width="6.6640625" style="110" customWidth="1"/>
    <col min="21" max="21" width="3.6640625" style="110" customWidth="1"/>
    <col min="22" max="22" width="16.6640625" style="152" customWidth="1"/>
    <col min="23" max="23" width="11.83203125" style="3" customWidth="1"/>
    <col min="24" max="24" width="19.5" style="3" customWidth="1"/>
    <col min="25" max="25" width="10.6640625" style="3"/>
    <col min="26" max="26" width="6.6640625" style="110" customWidth="1"/>
    <col min="27" max="16384" width="10.6640625" style="110"/>
  </cols>
  <sheetData>
    <row r="1" spans="1:26" ht="20" x14ac:dyDescent="0.2">
      <c r="A1" s="3"/>
      <c r="B1" s="163" t="s">
        <v>247</v>
      </c>
      <c r="D1" s="3"/>
      <c r="E1" s="3"/>
      <c r="F1" s="3"/>
      <c r="G1" s="3"/>
      <c r="H1" s="3"/>
      <c r="J1" s="3"/>
      <c r="K1" s="3"/>
      <c r="L1" s="3"/>
      <c r="M1" s="3"/>
      <c r="N1" s="3"/>
      <c r="Q1" s="3"/>
      <c r="R1" s="3"/>
      <c r="S1" s="3"/>
      <c r="T1" s="3"/>
      <c r="U1" s="3"/>
    </row>
    <row r="2" spans="1:26" ht="20" x14ac:dyDescent="0.2">
      <c r="A2" s="3"/>
      <c r="B2" s="163" t="s">
        <v>248</v>
      </c>
      <c r="C2" s="3"/>
      <c r="D2" s="3"/>
      <c r="E2" s="3"/>
      <c r="F2" s="3"/>
      <c r="G2" s="3"/>
      <c r="H2" s="3"/>
      <c r="J2" s="3"/>
      <c r="K2" s="3"/>
      <c r="L2" s="3"/>
      <c r="M2" s="3"/>
      <c r="N2" s="3"/>
      <c r="Q2" s="3"/>
      <c r="R2" s="3"/>
      <c r="S2" s="3"/>
      <c r="T2" s="3"/>
      <c r="U2" s="3"/>
    </row>
    <row r="3" spans="1:26" s="3" customFormat="1" x14ac:dyDescent="0.2">
      <c r="J3" s="161" t="s">
        <v>42</v>
      </c>
      <c r="O3" s="28">
        <v>1888</v>
      </c>
      <c r="P3" s="173"/>
      <c r="S3" s="28">
        <v>1888</v>
      </c>
      <c r="V3" s="28">
        <v>1912</v>
      </c>
      <c r="Y3" s="3">
        <v>1912</v>
      </c>
    </row>
    <row r="4" spans="1:26" x14ac:dyDescent="0.2">
      <c r="A4" s="3"/>
      <c r="B4" s="1"/>
      <c r="C4" s="162" t="s">
        <v>421</v>
      </c>
      <c r="D4" s="1"/>
      <c r="E4" s="1"/>
      <c r="F4" s="1"/>
      <c r="G4" s="2"/>
      <c r="H4" s="2"/>
      <c r="I4" s="2"/>
      <c r="J4" s="164" t="s">
        <v>416</v>
      </c>
      <c r="K4" s="2"/>
      <c r="L4" s="2"/>
      <c r="M4" s="2"/>
      <c r="N4" s="2"/>
      <c r="O4" s="116"/>
      <c r="P4" s="140"/>
      <c r="Q4" s="3"/>
      <c r="R4" s="3"/>
      <c r="S4" s="3"/>
      <c r="T4" s="3"/>
      <c r="U4" s="3"/>
    </row>
    <row r="5" spans="1:26" x14ac:dyDescent="0.2">
      <c r="A5" s="3"/>
      <c r="B5" s="3"/>
      <c r="C5" s="305" t="s">
        <v>422</v>
      </c>
      <c r="D5" s="3"/>
      <c r="E5" s="3"/>
      <c r="F5" s="5"/>
      <c r="G5" s="5"/>
      <c r="H5" s="5"/>
      <c r="I5" s="5"/>
      <c r="K5" s="5"/>
      <c r="L5" s="5"/>
      <c r="M5" s="5"/>
      <c r="N5" s="5"/>
      <c r="O5" s="117" t="s">
        <v>294</v>
      </c>
      <c r="P5" s="142"/>
      <c r="Q5" s="111"/>
      <c r="R5" s="111"/>
      <c r="S5" s="111"/>
      <c r="T5" s="112"/>
      <c r="U5" s="3"/>
      <c r="V5" s="149" t="s">
        <v>308</v>
      </c>
      <c r="W5" s="111"/>
      <c r="X5" s="111"/>
      <c r="Y5" s="111"/>
      <c r="Z5" s="112"/>
    </row>
    <row r="6" spans="1:26" x14ac:dyDescent="0.2">
      <c r="A6" s="3"/>
      <c r="B6" s="3"/>
      <c r="C6" s="9" t="s">
        <v>82</v>
      </c>
      <c r="D6" s="6" t="s">
        <v>134</v>
      </c>
      <c r="E6" s="6" t="s">
        <v>134</v>
      </c>
      <c r="F6" s="44" t="s">
        <v>237</v>
      </c>
      <c r="G6" s="45"/>
      <c r="H6" s="106"/>
      <c r="I6" s="9"/>
      <c r="J6" s="9" t="s">
        <v>82</v>
      </c>
      <c r="K6" s="6"/>
      <c r="L6" s="106" t="s">
        <v>237</v>
      </c>
      <c r="M6" s="106"/>
      <c r="N6" s="106"/>
      <c r="O6" s="118" t="s">
        <v>156</v>
      </c>
      <c r="P6" s="143" t="s">
        <v>267</v>
      </c>
      <c r="Q6" s="9"/>
      <c r="R6" s="57" t="s">
        <v>191</v>
      </c>
      <c r="S6" s="9"/>
      <c r="T6" s="33" t="s">
        <v>154</v>
      </c>
      <c r="U6" s="3"/>
      <c r="V6" s="150" t="s">
        <v>309</v>
      </c>
      <c r="W6" s="9"/>
      <c r="X6" s="61" t="s">
        <v>226</v>
      </c>
      <c r="Y6" s="9"/>
      <c r="Z6" s="33" t="s">
        <v>154</v>
      </c>
    </row>
    <row r="7" spans="1:26" x14ac:dyDescent="0.2">
      <c r="A7" s="3"/>
      <c r="B7" s="3" t="s">
        <v>211</v>
      </c>
      <c r="C7" s="9" t="s">
        <v>83</v>
      </c>
      <c r="D7" s="10" t="s">
        <v>232</v>
      </c>
      <c r="E7" s="6" t="s">
        <v>212</v>
      </c>
      <c r="F7" s="3" t="s">
        <v>233</v>
      </c>
      <c r="G7" s="3" t="s">
        <v>325</v>
      </c>
      <c r="H7" s="3"/>
      <c r="I7" s="9"/>
      <c r="J7" s="9" t="s">
        <v>83</v>
      </c>
      <c r="K7" s="6"/>
      <c r="L7" s="3" t="s">
        <v>233</v>
      </c>
      <c r="M7" s="3" t="s">
        <v>325</v>
      </c>
      <c r="N7" s="3"/>
      <c r="O7" s="118" t="s">
        <v>223</v>
      </c>
      <c r="P7" s="143" t="s">
        <v>153</v>
      </c>
      <c r="Q7" s="9" t="s">
        <v>181</v>
      </c>
      <c r="R7" s="57" t="s">
        <v>159</v>
      </c>
      <c r="S7" s="9" t="s">
        <v>160</v>
      </c>
      <c r="T7" s="33" t="s">
        <v>155</v>
      </c>
      <c r="U7" s="3"/>
      <c r="V7" s="150" t="s">
        <v>223</v>
      </c>
      <c r="W7" s="9" t="s">
        <v>181</v>
      </c>
      <c r="X7" s="57" t="s">
        <v>281</v>
      </c>
      <c r="Y7" s="9" t="s">
        <v>282</v>
      </c>
      <c r="Z7" s="33" t="s">
        <v>155</v>
      </c>
    </row>
    <row r="8" spans="1:26" x14ac:dyDescent="0.2">
      <c r="A8" s="3" t="s">
        <v>214</v>
      </c>
      <c r="B8" s="3" t="s">
        <v>101</v>
      </c>
      <c r="C8" s="5">
        <v>0</v>
      </c>
      <c r="D8" s="11">
        <v>2450</v>
      </c>
      <c r="E8" s="12">
        <v>100</v>
      </c>
      <c r="F8" s="28">
        <f>$C8*D8/365</f>
        <v>0</v>
      </c>
      <c r="G8" s="28">
        <f>$C8*E8/365</f>
        <v>0</v>
      </c>
      <c r="H8" s="28"/>
      <c r="I8" s="3" t="s">
        <v>214</v>
      </c>
      <c r="J8" s="28">
        <v>0</v>
      </c>
      <c r="K8" s="28" t="s">
        <v>327</v>
      </c>
      <c r="L8" s="28">
        <v>0</v>
      </c>
      <c r="M8" s="28">
        <v>0</v>
      </c>
      <c r="N8" s="28"/>
      <c r="O8" s="116"/>
      <c r="P8" s="140"/>
      <c r="Q8" s="3"/>
      <c r="R8" s="3"/>
      <c r="S8" s="3"/>
      <c r="T8" s="3"/>
      <c r="U8" s="3"/>
    </row>
    <row r="9" spans="1:26" x14ac:dyDescent="0.2">
      <c r="A9" s="14" t="s">
        <v>326</v>
      </c>
      <c r="B9" s="14" t="s">
        <v>327</v>
      </c>
      <c r="C9" s="14">
        <v>0</v>
      </c>
      <c r="D9" s="14">
        <v>3390</v>
      </c>
      <c r="E9" s="28">
        <v>137</v>
      </c>
      <c r="F9" s="28">
        <f t="shared" ref="F9:F29" si="0">C9*D9/365</f>
        <v>0</v>
      </c>
      <c r="G9" s="28">
        <f t="shared" ref="G9:G36" si="1">$C9*E9/365</f>
        <v>0</v>
      </c>
      <c r="H9" s="28"/>
      <c r="I9" s="14" t="s">
        <v>326</v>
      </c>
      <c r="J9" s="28">
        <v>0</v>
      </c>
      <c r="K9" s="28" t="s">
        <v>327</v>
      </c>
      <c r="L9" s="28">
        <v>0</v>
      </c>
      <c r="M9" s="28">
        <v>0</v>
      </c>
      <c r="N9" s="28"/>
      <c r="O9" s="116"/>
      <c r="P9" s="140"/>
      <c r="Q9" s="3"/>
      <c r="R9" s="3"/>
      <c r="S9" s="3"/>
      <c r="T9" s="3"/>
      <c r="U9" s="3"/>
    </row>
    <row r="10" spans="1:26" x14ac:dyDescent="0.2">
      <c r="A10" s="15" t="s">
        <v>92</v>
      </c>
      <c r="B10" s="15" t="s">
        <v>327</v>
      </c>
      <c r="C10" s="14">
        <v>5</v>
      </c>
      <c r="D10" s="15">
        <v>3370</v>
      </c>
      <c r="E10" s="16">
        <v>88</v>
      </c>
      <c r="F10" s="28">
        <f t="shared" si="0"/>
        <v>46.164383561643838</v>
      </c>
      <c r="G10" s="28">
        <f t="shared" si="1"/>
        <v>1.2054794520547945</v>
      </c>
      <c r="H10" s="28"/>
      <c r="I10" s="15" t="s">
        <v>92</v>
      </c>
      <c r="J10" s="28">
        <v>0</v>
      </c>
      <c r="K10" s="28" t="s">
        <v>327</v>
      </c>
      <c r="L10" s="28">
        <v>0</v>
      </c>
      <c r="M10" s="28">
        <v>0</v>
      </c>
      <c r="N10" s="28"/>
      <c r="O10" s="116">
        <v>0.77</v>
      </c>
      <c r="P10" s="140">
        <v>4.5250918209876548E-3</v>
      </c>
      <c r="Q10" s="175">
        <f>P10*$C10</f>
        <v>2.2625459104938274E-2</v>
      </c>
      <c r="R10" s="139">
        <v>7.4906184575315657E-3</v>
      </c>
      <c r="S10" s="113"/>
      <c r="T10" s="176">
        <f>P10/R10</f>
        <v>0.60410122964383894</v>
      </c>
      <c r="U10" s="113"/>
      <c r="V10" s="152">
        <v>7.7450629231381905E-3</v>
      </c>
      <c r="W10" s="175">
        <f>V10*$C10</f>
        <v>3.8725314615690953E-2</v>
      </c>
      <c r="X10" s="156">
        <v>7.859367047869794E-3</v>
      </c>
      <c r="Z10" s="176">
        <f>V10/X10</f>
        <v>0.98545631931485056</v>
      </c>
    </row>
    <row r="11" spans="1:26" x14ac:dyDescent="0.2">
      <c r="A11" s="15" t="s">
        <v>93</v>
      </c>
      <c r="B11" s="15" t="s">
        <v>94</v>
      </c>
      <c r="C11" s="14">
        <v>5</v>
      </c>
      <c r="D11" s="15">
        <v>3370</v>
      </c>
      <c r="E11" s="16">
        <v>88</v>
      </c>
      <c r="F11" s="28">
        <f t="shared" si="0"/>
        <v>46.164383561643838</v>
      </c>
      <c r="G11" s="28">
        <f t="shared" si="1"/>
        <v>1.2054794520547945</v>
      </c>
      <c r="H11" s="28"/>
      <c r="I11" s="15" t="s">
        <v>93</v>
      </c>
      <c r="J11" s="28">
        <v>0</v>
      </c>
      <c r="K11" s="28" t="s">
        <v>327</v>
      </c>
      <c r="L11" s="28">
        <v>0</v>
      </c>
      <c r="M11" s="28">
        <v>0</v>
      </c>
      <c r="N11" s="28"/>
      <c r="O11" s="116">
        <v>0.77</v>
      </c>
      <c r="P11" s="148">
        <f>P10*V11/V10</f>
        <v>3.3299092528755445E-3</v>
      </c>
      <c r="Q11" s="175">
        <f>P11*$C11</f>
        <v>1.6649546264377722E-2</v>
      </c>
      <c r="R11" s="157">
        <v>7.5160611304484568E-3</v>
      </c>
      <c r="S11" s="113"/>
      <c r="T11" s="176">
        <f>P11/R11</f>
        <v>0.44303913912909604</v>
      </c>
      <c r="U11" s="113"/>
      <c r="V11" s="152">
        <v>5.6994106886945166E-3</v>
      </c>
      <c r="W11" s="175">
        <f>V11*$C11</f>
        <v>2.8497053443472583E-2</v>
      </c>
      <c r="X11" s="158">
        <v>7.7505945645705964E-3</v>
      </c>
      <c r="Z11" s="176">
        <f>V11/X11</f>
        <v>0.73535141610265342</v>
      </c>
    </row>
    <row r="12" spans="1:26" x14ac:dyDescent="0.2">
      <c r="A12" s="14" t="s">
        <v>28</v>
      </c>
      <c r="B12" s="14" t="s">
        <v>101</v>
      </c>
      <c r="C12" s="14">
        <v>0</v>
      </c>
      <c r="D12" s="18">
        <v>3901.9677419354839</v>
      </c>
      <c r="E12" s="16">
        <v>169.54838709677421</v>
      </c>
      <c r="F12" s="28">
        <f t="shared" si="0"/>
        <v>0</v>
      </c>
      <c r="G12" s="28">
        <f t="shared" si="1"/>
        <v>0</v>
      </c>
      <c r="H12" s="28"/>
      <c r="I12" s="14" t="s">
        <v>28</v>
      </c>
      <c r="J12" s="28">
        <v>164</v>
      </c>
      <c r="K12" s="28" t="s">
        <v>327</v>
      </c>
      <c r="L12" s="28">
        <f>$J12*D12/365</f>
        <v>1753.2129032258065</v>
      </c>
      <c r="M12" s="28">
        <f>$J12*E12/365</f>
        <v>76.180645161290329</v>
      </c>
      <c r="N12" s="28"/>
      <c r="O12" s="116"/>
      <c r="P12" s="140"/>
      <c r="Q12" s="3"/>
      <c r="R12" s="165">
        <v>7.061213409289599E-3</v>
      </c>
      <c r="S12" s="174">
        <f>R12*J12</f>
        <v>1.1580389991234943</v>
      </c>
      <c r="T12" s="3"/>
      <c r="U12" s="3"/>
      <c r="X12" s="166">
        <v>8.1828277365536238E-3</v>
      </c>
      <c r="Y12" s="174">
        <f>X12*$J12</f>
        <v>1.3419837487947943</v>
      </c>
    </row>
    <row r="13" spans="1:26" x14ac:dyDescent="0.2">
      <c r="A13" s="14" t="s">
        <v>328</v>
      </c>
      <c r="B13" s="14" t="s">
        <v>327</v>
      </c>
      <c r="C13" s="14">
        <v>0</v>
      </c>
      <c r="D13" s="14">
        <f>3780*0.8</f>
        <v>3024</v>
      </c>
      <c r="E13" s="28">
        <v>110</v>
      </c>
      <c r="F13" s="28">
        <f t="shared" si="0"/>
        <v>0</v>
      </c>
      <c r="G13" s="28">
        <f t="shared" si="1"/>
        <v>0</v>
      </c>
      <c r="H13" s="28"/>
      <c r="I13" s="14" t="s">
        <v>328</v>
      </c>
      <c r="J13" s="28">
        <v>0</v>
      </c>
      <c r="K13" s="28" t="s">
        <v>327</v>
      </c>
      <c r="L13" s="28">
        <v>0</v>
      </c>
      <c r="M13" s="28">
        <v>0</v>
      </c>
      <c r="N13" s="28"/>
      <c r="O13" s="116"/>
      <c r="P13" s="140"/>
      <c r="Q13" s="3"/>
      <c r="R13" s="3"/>
      <c r="S13" s="3"/>
      <c r="T13" s="3"/>
      <c r="U13" s="3"/>
    </row>
    <row r="14" spans="1:26" x14ac:dyDescent="0.2">
      <c r="A14" s="14" t="s">
        <v>261</v>
      </c>
      <c r="B14" s="14" t="s">
        <v>327</v>
      </c>
      <c r="C14" s="14">
        <v>0</v>
      </c>
      <c r="D14" s="14">
        <v>3870</v>
      </c>
      <c r="E14" s="28"/>
      <c r="F14" s="28">
        <f t="shared" si="0"/>
        <v>0</v>
      </c>
      <c r="G14" s="28">
        <f t="shared" si="1"/>
        <v>0</v>
      </c>
      <c r="H14" s="28"/>
      <c r="I14" s="14" t="s">
        <v>261</v>
      </c>
      <c r="J14" s="28">
        <v>0</v>
      </c>
      <c r="K14" s="28" t="s">
        <v>327</v>
      </c>
      <c r="L14" s="28">
        <v>0</v>
      </c>
      <c r="M14" s="28">
        <v>0</v>
      </c>
      <c r="N14" s="28"/>
      <c r="O14" s="116"/>
      <c r="P14" s="140"/>
      <c r="Q14" s="3"/>
      <c r="R14" s="3"/>
      <c r="S14" s="3"/>
      <c r="T14" s="3"/>
      <c r="U14" s="3"/>
    </row>
    <row r="15" spans="1:26" x14ac:dyDescent="0.2">
      <c r="A15" s="14" t="s">
        <v>262</v>
      </c>
      <c r="B15" s="14" t="s">
        <v>327</v>
      </c>
      <c r="C15" s="14">
        <v>0</v>
      </c>
      <c r="D15" s="14">
        <v>3610</v>
      </c>
      <c r="E15" s="19"/>
      <c r="F15" s="19">
        <f t="shared" si="0"/>
        <v>0</v>
      </c>
      <c r="G15" s="19">
        <f t="shared" si="1"/>
        <v>0</v>
      </c>
      <c r="H15" s="19"/>
      <c r="I15" s="14" t="s">
        <v>262</v>
      </c>
      <c r="J15" s="28">
        <v>0</v>
      </c>
      <c r="K15" s="28" t="s">
        <v>327</v>
      </c>
      <c r="L15" s="28">
        <v>0</v>
      </c>
      <c r="M15" s="28">
        <v>0</v>
      </c>
      <c r="N15" s="28"/>
      <c r="O15" s="116"/>
      <c r="P15" s="140"/>
      <c r="Q15" s="3"/>
      <c r="R15" s="3"/>
      <c r="S15" s="3"/>
      <c r="T15" s="3"/>
      <c r="U15" s="3"/>
    </row>
    <row r="16" spans="1:26" x14ac:dyDescent="0.2">
      <c r="A16" s="14" t="s">
        <v>147</v>
      </c>
      <c r="B16" s="14" t="s">
        <v>327</v>
      </c>
      <c r="C16" s="14">
        <v>16</v>
      </c>
      <c r="D16" s="14">
        <v>3370</v>
      </c>
      <c r="E16" s="19">
        <v>108</v>
      </c>
      <c r="F16" s="19">
        <f t="shared" si="0"/>
        <v>147.72602739726028</v>
      </c>
      <c r="G16" s="19">
        <f t="shared" si="1"/>
        <v>4.7342465753424658</v>
      </c>
      <c r="H16" s="19"/>
      <c r="I16" s="14" t="s">
        <v>147</v>
      </c>
      <c r="J16" s="28">
        <v>0</v>
      </c>
      <c r="K16" s="28" t="s">
        <v>327</v>
      </c>
      <c r="L16" s="28">
        <v>0</v>
      </c>
      <c r="M16" s="28">
        <v>0</v>
      </c>
      <c r="N16" s="28"/>
      <c r="O16" s="116">
        <v>0.62</v>
      </c>
      <c r="P16" s="148">
        <f>P10*$O16/$O10</f>
        <v>3.6435804272887612E-3</v>
      </c>
      <c r="Q16" s="175">
        <f>P16*$C16</f>
        <v>5.829728683662018E-2</v>
      </c>
      <c r="R16" s="148">
        <f>R10*$O16/$O10</f>
        <v>6.0314070697007408E-3</v>
      </c>
      <c r="S16" s="3"/>
      <c r="T16" s="176">
        <f>P16/R16</f>
        <v>0.60410122964383894</v>
      </c>
      <c r="U16" s="3"/>
      <c r="V16" s="152">
        <f>P16*V11/P11</f>
        <v>6.236284431617764E-3</v>
      </c>
      <c r="W16" s="175">
        <f>V16*$C16</f>
        <v>9.9780550905884224E-2</v>
      </c>
      <c r="X16" s="148">
        <f>X10*$O16/$O10</f>
        <v>6.3283215190639902E-3</v>
      </c>
      <c r="Z16" s="176">
        <f>V16/X16</f>
        <v>0.98545631931485067</v>
      </c>
    </row>
    <row r="17" spans="1:31" x14ac:dyDescent="0.2">
      <c r="A17" s="14" t="s">
        <v>263</v>
      </c>
      <c r="B17" s="14" t="s">
        <v>327</v>
      </c>
      <c r="C17" s="14">
        <v>112</v>
      </c>
      <c r="D17" s="14">
        <v>3510</v>
      </c>
      <c r="E17" s="19">
        <v>75</v>
      </c>
      <c r="F17" s="19">
        <f t="shared" si="0"/>
        <v>1077.041095890411</v>
      </c>
      <c r="G17" s="19">
        <f t="shared" si="1"/>
        <v>23.013698630136986</v>
      </c>
      <c r="H17" s="19"/>
      <c r="I17" s="14" t="s">
        <v>263</v>
      </c>
      <c r="J17" s="19">
        <v>0</v>
      </c>
      <c r="K17" s="28" t="s">
        <v>327</v>
      </c>
      <c r="L17" s="28">
        <v>0</v>
      </c>
      <c r="M17" s="28">
        <v>0</v>
      </c>
      <c r="N17" s="19"/>
      <c r="O17" s="116">
        <v>1.5</v>
      </c>
      <c r="P17" s="140">
        <v>5.0942437499999988E-3</v>
      </c>
      <c r="Q17" s="175">
        <f>P17*$C17</f>
        <v>0.57055529999999988</v>
      </c>
      <c r="R17" s="159">
        <f>0.96*R10</f>
        <v>7.1909937192303026E-3</v>
      </c>
      <c r="S17" s="3"/>
      <c r="T17" s="176">
        <f>P17/R17</f>
        <v>0.70841999713848558</v>
      </c>
      <c r="U17" s="3"/>
      <c r="V17" s="152">
        <v>1.1876120210280375E-2</v>
      </c>
      <c r="W17" s="175">
        <f>V17*$C17</f>
        <v>1.3301254635514019</v>
      </c>
      <c r="X17" s="159">
        <f>0.96*X10</f>
        <v>7.5449923659550019E-3</v>
      </c>
      <c r="Z17" s="176">
        <f>V17/X17</f>
        <v>1.5740400565371764</v>
      </c>
    </row>
    <row r="18" spans="1:31" x14ac:dyDescent="0.2">
      <c r="A18" s="14" t="s">
        <v>115</v>
      </c>
      <c r="B18" s="14" t="s">
        <v>327</v>
      </c>
      <c r="C18" s="14">
        <v>0</v>
      </c>
      <c r="D18" s="14">
        <v>3640</v>
      </c>
      <c r="E18" s="19"/>
      <c r="F18" s="19">
        <f t="shared" si="0"/>
        <v>0</v>
      </c>
      <c r="G18" s="19">
        <f t="shared" si="1"/>
        <v>0</v>
      </c>
      <c r="H18" s="19"/>
      <c r="I18" s="14" t="s">
        <v>115</v>
      </c>
      <c r="J18" s="19">
        <v>0</v>
      </c>
      <c r="K18" s="28" t="s">
        <v>327</v>
      </c>
      <c r="L18" s="28">
        <v>0</v>
      </c>
      <c r="M18" s="28">
        <v>0</v>
      </c>
      <c r="N18" s="19"/>
      <c r="O18" s="116"/>
      <c r="P18" s="140"/>
      <c r="Q18" s="3"/>
      <c r="R18" s="3"/>
      <c r="S18" s="3"/>
      <c r="T18" s="3"/>
      <c r="U18" s="3"/>
    </row>
    <row r="19" spans="1:31" x14ac:dyDescent="0.2">
      <c r="A19" s="14" t="s">
        <v>148</v>
      </c>
      <c r="B19" s="14" t="s">
        <v>101</v>
      </c>
      <c r="C19" s="14">
        <v>53</v>
      </c>
      <c r="D19" s="14">
        <v>3920</v>
      </c>
      <c r="E19" s="19">
        <v>343</v>
      </c>
      <c r="F19" s="19">
        <f t="shared" si="0"/>
        <v>569.20547945205476</v>
      </c>
      <c r="G19" s="19">
        <f t="shared" si="1"/>
        <v>49.805479452054797</v>
      </c>
      <c r="H19" s="19"/>
      <c r="I19" s="14" t="s">
        <v>148</v>
      </c>
      <c r="J19" s="19">
        <v>0</v>
      </c>
      <c r="K19" s="28" t="s">
        <v>327</v>
      </c>
      <c r="L19" s="28">
        <v>0</v>
      </c>
      <c r="M19" s="28">
        <v>0</v>
      </c>
      <c r="N19" s="19"/>
      <c r="O19" s="119">
        <v>0.97</v>
      </c>
      <c r="P19" s="144">
        <v>5.0054362139917699E-3</v>
      </c>
      <c r="Q19" s="175">
        <f>P19*$C19</f>
        <v>0.26528811934156382</v>
      </c>
      <c r="R19" s="160">
        <f>R10*P19/P10</f>
        <v>8.2857573670936484E-3</v>
      </c>
      <c r="S19" s="113"/>
      <c r="T19" s="176">
        <f>P19/R19</f>
        <v>0.60410122964383883</v>
      </c>
      <c r="V19" s="152">
        <v>7.6631717896174859E-3</v>
      </c>
      <c r="W19" s="175">
        <f>V19*$C19</f>
        <v>0.40614810484972674</v>
      </c>
      <c r="X19" s="160">
        <f>X10*V19/V10</f>
        <v>7.7762673387141001E-3</v>
      </c>
      <c r="Z19" s="176">
        <f>V19/X19</f>
        <v>0.98545631931485067</v>
      </c>
    </row>
    <row r="20" spans="1:31" x14ac:dyDescent="0.2">
      <c r="A20" s="14" t="s">
        <v>49</v>
      </c>
      <c r="B20" s="14" t="s">
        <v>112</v>
      </c>
      <c r="C20" s="14">
        <v>0</v>
      </c>
      <c r="D20" s="14">
        <v>1125</v>
      </c>
      <c r="E20" s="19">
        <v>71</v>
      </c>
      <c r="F20" s="19">
        <f t="shared" si="0"/>
        <v>0</v>
      </c>
      <c r="G20" s="19">
        <f t="shared" si="1"/>
        <v>0</v>
      </c>
      <c r="H20" s="19"/>
      <c r="I20" s="14" t="s">
        <v>49</v>
      </c>
      <c r="J20" s="19">
        <f>20*1.0684</f>
        <v>21.368000000000002</v>
      </c>
      <c r="K20" s="14" t="s">
        <v>112</v>
      </c>
      <c r="L20" s="28">
        <f>$J20*D20/365</f>
        <v>65.860273972602755</v>
      </c>
      <c r="M20" s="28">
        <f>$J20*E20/365</f>
        <v>4.1565150684931513</v>
      </c>
      <c r="N20" s="19"/>
      <c r="O20" s="124">
        <v>1.01</v>
      </c>
      <c r="P20" s="196"/>
      <c r="Q20" s="5"/>
      <c r="R20" s="196">
        <v>5.390745322946095E-3</v>
      </c>
      <c r="S20" s="197">
        <f>R20*J20</f>
        <v>0.11518944606071217</v>
      </c>
      <c r="T20" s="301"/>
      <c r="U20" s="301"/>
      <c r="V20" s="196"/>
      <c r="W20" s="5"/>
      <c r="X20" s="196">
        <v>6.3364479331846748E-3</v>
      </c>
      <c r="Y20" s="197">
        <f>X20*$J20</f>
        <v>0.13539721943629016</v>
      </c>
      <c r="Z20" s="301"/>
      <c r="AA20" s="301"/>
      <c r="AB20" s="301"/>
      <c r="AC20" s="301"/>
      <c r="AD20" s="301"/>
      <c r="AE20" s="301"/>
    </row>
    <row r="21" spans="1:31" x14ac:dyDescent="0.2">
      <c r="A21" s="14" t="s">
        <v>295</v>
      </c>
      <c r="B21" s="14" t="s">
        <v>327</v>
      </c>
      <c r="C21" s="14">
        <v>1.47</v>
      </c>
      <c r="D21" s="14">
        <v>2500</v>
      </c>
      <c r="E21" s="19">
        <v>200</v>
      </c>
      <c r="F21" s="32">
        <f t="shared" si="0"/>
        <v>10.068493150684931</v>
      </c>
      <c r="G21" s="19">
        <f t="shared" si="1"/>
        <v>0.80547945205479454</v>
      </c>
      <c r="H21" s="19"/>
      <c r="I21" s="14" t="s">
        <v>295</v>
      </c>
      <c r="J21" s="19">
        <f>5*1.0684</f>
        <v>5.3420000000000005</v>
      </c>
      <c r="K21" s="19" t="s">
        <v>327</v>
      </c>
      <c r="L21" s="28">
        <f>$J21*D21/365</f>
        <v>36.589041095890416</v>
      </c>
      <c r="M21" s="28">
        <f>$J21*E21/365</f>
        <v>2.927123287671233</v>
      </c>
      <c r="N21" s="19"/>
      <c r="O21" s="124"/>
      <c r="P21" s="302">
        <v>2.141409722222222E-2</v>
      </c>
      <c r="Q21" s="197">
        <f>P21*$C21</f>
        <v>3.147872291666666E-2</v>
      </c>
      <c r="R21" s="196">
        <v>6.8109991019809232E-2</v>
      </c>
      <c r="S21" s="197">
        <f>R21*J21</f>
        <v>0.36384357202782097</v>
      </c>
      <c r="T21" s="260">
        <f>P21/R21</f>
        <v>0.31440464022369502</v>
      </c>
      <c r="U21" s="301"/>
      <c r="V21" s="196">
        <v>4.5791719511383791E-2</v>
      </c>
      <c r="W21" s="197">
        <f>V21*$C21</f>
        <v>6.7313827681734176E-2</v>
      </c>
      <c r="X21" s="196">
        <v>8.1255081130333334E-2</v>
      </c>
      <c r="Y21" s="197">
        <f>X21*$J21</f>
        <v>0.43406464339824069</v>
      </c>
      <c r="Z21" s="260">
        <f>V21/X21</f>
        <v>0.56355515094414554</v>
      </c>
      <c r="AA21" s="301"/>
      <c r="AB21" s="301"/>
      <c r="AC21" s="301"/>
      <c r="AD21" s="301"/>
      <c r="AE21" s="301"/>
    </row>
    <row r="22" spans="1:31" x14ac:dyDescent="0.2">
      <c r="A22" s="14" t="s">
        <v>51</v>
      </c>
      <c r="B22" s="14" t="s">
        <v>327</v>
      </c>
      <c r="C22" s="14">
        <v>0</v>
      </c>
      <c r="D22" s="14">
        <v>1050</v>
      </c>
      <c r="E22" s="19">
        <v>181</v>
      </c>
      <c r="F22" s="32">
        <f t="shared" si="0"/>
        <v>0</v>
      </c>
      <c r="G22" s="19">
        <f t="shared" si="1"/>
        <v>0</v>
      </c>
      <c r="H22" s="19"/>
      <c r="I22" s="14" t="s">
        <v>51</v>
      </c>
      <c r="J22" s="19">
        <v>0</v>
      </c>
      <c r="K22" s="19"/>
      <c r="L22" s="19">
        <v>0</v>
      </c>
      <c r="M22" s="19">
        <v>0</v>
      </c>
      <c r="N22" s="19"/>
      <c r="O22" s="124">
        <v>2.19</v>
      </c>
      <c r="P22" s="196"/>
      <c r="Q22" s="5"/>
      <c r="R22" s="5"/>
      <c r="S22" s="5"/>
      <c r="T22" s="301"/>
      <c r="U22" s="301"/>
      <c r="V22" s="196"/>
      <c r="W22" s="5"/>
      <c r="X22" s="5"/>
      <c r="Y22" s="5"/>
      <c r="Z22" s="301"/>
      <c r="AA22" s="301"/>
      <c r="AB22" s="301"/>
      <c r="AC22" s="301"/>
      <c r="AD22" s="301"/>
      <c r="AE22" s="301"/>
    </row>
    <row r="23" spans="1:31" x14ac:dyDescent="0.2">
      <c r="A23" s="14" t="s">
        <v>146</v>
      </c>
      <c r="B23" s="14" t="s">
        <v>112</v>
      </c>
      <c r="C23" s="14">
        <v>1</v>
      </c>
      <c r="D23" s="14">
        <v>1553</v>
      </c>
      <c r="E23" s="19">
        <v>0</v>
      </c>
      <c r="F23" s="19">
        <f t="shared" si="0"/>
        <v>4.2547945205479456</v>
      </c>
      <c r="G23" s="19">
        <f t="shared" si="1"/>
        <v>0</v>
      </c>
      <c r="H23" s="19"/>
      <c r="I23" s="14" t="s">
        <v>146</v>
      </c>
      <c r="J23" s="19">
        <v>0</v>
      </c>
      <c r="K23" s="14" t="s">
        <v>112</v>
      </c>
      <c r="L23" s="19">
        <v>0</v>
      </c>
      <c r="M23" s="19">
        <v>0</v>
      </c>
      <c r="N23" s="19"/>
      <c r="O23" s="124"/>
      <c r="P23" s="196">
        <v>1.4005536805555554E-2</v>
      </c>
      <c r="Q23" s="197">
        <f>P23*$C23</f>
        <v>1.4005536805555554E-2</v>
      </c>
      <c r="R23" s="5"/>
      <c r="S23" s="5"/>
      <c r="T23" s="301"/>
      <c r="U23" s="301"/>
      <c r="V23" s="196">
        <f>1*0.0301853242490941</f>
        <v>3.0185324249094099E-2</v>
      </c>
      <c r="W23" s="197">
        <f>V23*$C23</f>
        <v>3.0185324249094099E-2</v>
      </c>
      <c r="X23" s="5"/>
      <c r="Y23" s="5"/>
      <c r="Z23" s="301"/>
      <c r="AA23" s="301"/>
      <c r="AB23" s="301"/>
      <c r="AC23" s="301"/>
      <c r="AD23" s="301"/>
      <c r="AE23" s="301"/>
    </row>
    <row r="24" spans="1:31" x14ac:dyDescent="0.2">
      <c r="A24" s="14" t="s">
        <v>52</v>
      </c>
      <c r="B24" s="14" t="s">
        <v>112</v>
      </c>
      <c r="C24" s="14">
        <v>0</v>
      </c>
      <c r="D24" s="18">
        <v>425.16483516483515</v>
      </c>
      <c r="E24" s="18">
        <v>4.0109890109890109</v>
      </c>
      <c r="F24" s="19">
        <f t="shared" si="0"/>
        <v>0</v>
      </c>
      <c r="G24" s="19">
        <f t="shared" si="1"/>
        <v>0</v>
      </c>
      <c r="H24" s="19"/>
      <c r="I24" s="14" t="s">
        <v>52</v>
      </c>
      <c r="J24" s="19">
        <v>0</v>
      </c>
      <c r="K24" s="14" t="s">
        <v>112</v>
      </c>
      <c r="L24" s="19">
        <v>0</v>
      </c>
      <c r="M24" s="19">
        <v>0</v>
      </c>
      <c r="N24" s="19"/>
      <c r="O24" s="124"/>
      <c r="P24" s="196"/>
      <c r="Q24" s="5"/>
      <c r="R24" s="5"/>
      <c r="S24" s="5"/>
      <c r="T24" s="301"/>
      <c r="U24" s="301"/>
      <c r="V24" s="196"/>
      <c r="W24" s="5"/>
      <c r="X24" s="5"/>
      <c r="Y24" s="5"/>
      <c r="Z24" s="301"/>
      <c r="AA24" s="301"/>
      <c r="AB24" s="301"/>
      <c r="AC24" s="301"/>
      <c r="AD24" s="301"/>
      <c r="AE24" s="301"/>
    </row>
    <row r="25" spans="1:31" x14ac:dyDescent="0.2">
      <c r="A25" s="14" t="s">
        <v>53</v>
      </c>
      <c r="B25" s="14" t="s">
        <v>112</v>
      </c>
      <c r="C25" s="14">
        <v>0</v>
      </c>
      <c r="D25" s="18">
        <v>8800</v>
      </c>
      <c r="E25" s="18">
        <v>0</v>
      </c>
      <c r="F25" s="19">
        <f t="shared" si="0"/>
        <v>0</v>
      </c>
      <c r="G25" s="19">
        <f t="shared" si="1"/>
        <v>0</v>
      </c>
      <c r="H25" s="19"/>
      <c r="I25" s="14" t="s">
        <v>53</v>
      </c>
      <c r="J25" s="19">
        <v>0</v>
      </c>
      <c r="K25" s="14" t="s">
        <v>112</v>
      </c>
      <c r="L25" s="19">
        <v>0</v>
      </c>
      <c r="M25" s="19">
        <v>0</v>
      </c>
      <c r="N25" s="19"/>
      <c r="O25" s="124">
        <v>5.62</v>
      </c>
      <c r="P25" s="145"/>
      <c r="Q25" s="3"/>
      <c r="R25" s="5"/>
      <c r="S25" s="3"/>
    </row>
    <row r="26" spans="1:31" x14ac:dyDescent="0.2">
      <c r="A26" s="14" t="s">
        <v>117</v>
      </c>
      <c r="B26" s="14" t="s">
        <v>327</v>
      </c>
      <c r="C26" s="14">
        <v>0</v>
      </c>
      <c r="D26" s="14">
        <v>8760</v>
      </c>
      <c r="E26" s="18">
        <v>0</v>
      </c>
      <c r="F26" s="19">
        <f t="shared" si="0"/>
        <v>0</v>
      </c>
      <c r="G26" s="19">
        <f t="shared" si="1"/>
        <v>0</v>
      </c>
      <c r="H26" s="19"/>
      <c r="I26" s="14" t="s">
        <v>117</v>
      </c>
      <c r="J26" s="19">
        <v>0</v>
      </c>
      <c r="K26" s="19" t="s">
        <v>327</v>
      </c>
      <c r="L26" s="19">
        <v>0</v>
      </c>
      <c r="M26" s="19">
        <v>0</v>
      </c>
      <c r="N26" s="19"/>
      <c r="O26" s="124"/>
      <c r="P26" s="145"/>
      <c r="Q26" s="3"/>
      <c r="R26" s="5"/>
      <c r="S26" s="3"/>
    </row>
    <row r="27" spans="1:31" x14ac:dyDescent="0.2">
      <c r="A27" s="14" t="s">
        <v>100</v>
      </c>
      <c r="B27" s="14" t="s">
        <v>101</v>
      </c>
      <c r="C27" s="14">
        <v>0</v>
      </c>
      <c r="D27" s="14">
        <v>7286</v>
      </c>
      <c r="E27" s="19">
        <v>7</v>
      </c>
      <c r="F27" s="19">
        <f t="shared" si="0"/>
        <v>0</v>
      </c>
      <c r="G27" s="19">
        <f t="shared" si="1"/>
        <v>0</v>
      </c>
      <c r="H27" s="19"/>
      <c r="I27" s="14" t="s">
        <v>100</v>
      </c>
      <c r="J27" s="19">
        <f>3*1.0684</f>
        <v>3.2052</v>
      </c>
      <c r="K27" s="19" t="s">
        <v>327</v>
      </c>
      <c r="L27" s="28">
        <f>$J27*D27/365</f>
        <v>63.981060821917815</v>
      </c>
      <c r="M27" s="28">
        <f>$J27*E27/365</f>
        <v>6.1469589041095889E-2</v>
      </c>
      <c r="N27" s="19"/>
      <c r="O27" s="124"/>
      <c r="P27" s="145"/>
      <c r="Q27" s="3"/>
      <c r="R27" s="168">
        <v>0.11553241435086796</v>
      </c>
      <c r="S27" s="174">
        <f>R27*J27</f>
        <v>0.37030449447740199</v>
      </c>
      <c r="X27" s="169">
        <v>0.12756256549605885</v>
      </c>
      <c r="Y27" s="174">
        <f>X27*$J27</f>
        <v>0.40886353492796784</v>
      </c>
    </row>
    <row r="28" spans="1:31" x14ac:dyDescent="0.2">
      <c r="A28" s="14" t="s">
        <v>10</v>
      </c>
      <c r="B28" s="14" t="s">
        <v>327</v>
      </c>
      <c r="C28" s="14">
        <v>0</v>
      </c>
      <c r="D28" s="14">
        <v>3750</v>
      </c>
      <c r="E28" s="5">
        <v>214</v>
      </c>
      <c r="F28" s="19">
        <f t="shared" si="0"/>
        <v>0</v>
      </c>
      <c r="G28" s="19">
        <f t="shared" si="1"/>
        <v>0</v>
      </c>
      <c r="H28" s="19"/>
      <c r="I28" s="14" t="s">
        <v>10</v>
      </c>
      <c r="J28" s="19">
        <v>0</v>
      </c>
      <c r="K28" s="19" t="s">
        <v>327</v>
      </c>
      <c r="L28" s="19">
        <v>0</v>
      </c>
      <c r="M28" s="19">
        <v>0</v>
      </c>
      <c r="N28" s="19"/>
      <c r="O28" s="116"/>
      <c r="P28" s="140"/>
      <c r="Q28" s="3"/>
      <c r="R28" s="5"/>
      <c r="S28" s="3"/>
    </row>
    <row r="29" spans="1:31" x14ac:dyDescent="0.2">
      <c r="A29" s="14" t="s">
        <v>11</v>
      </c>
      <c r="B29" s="14" t="s">
        <v>12</v>
      </c>
      <c r="C29" s="83">
        <v>0</v>
      </c>
      <c r="D29" s="83">
        <v>79</v>
      </c>
      <c r="E29" s="107">
        <v>6.25</v>
      </c>
      <c r="F29" s="108">
        <f t="shared" si="0"/>
        <v>0</v>
      </c>
      <c r="G29" s="108">
        <f t="shared" si="1"/>
        <v>0</v>
      </c>
      <c r="H29" s="19"/>
      <c r="I29" s="83" t="s">
        <v>11</v>
      </c>
      <c r="J29" s="108">
        <v>0</v>
      </c>
      <c r="K29" s="108" t="s">
        <v>108</v>
      </c>
      <c r="L29" s="108">
        <v>0</v>
      </c>
      <c r="M29" s="108">
        <v>0</v>
      </c>
      <c r="N29" s="19"/>
      <c r="O29" s="303"/>
      <c r="P29" s="304"/>
      <c r="Q29" s="109"/>
      <c r="R29" s="107"/>
      <c r="S29" s="109"/>
      <c r="V29" s="304"/>
      <c r="W29" s="109"/>
      <c r="X29" s="109"/>
      <c r="Y29" s="109"/>
    </row>
    <row r="30" spans="1:31" x14ac:dyDescent="0.2">
      <c r="A30" s="14" t="s">
        <v>193</v>
      </c>
      <c r="B30" s="14" t="s">
        <v>327</v>
      </c>
      <c r="C30" s="14">
        <v>0</v>
      </c>
      <c r="D30" s="3"/>
      <c r="E30" s="3"/>
      <c r="F30" s="3"/>
      <c r="G30" s="3"/>
      <c r="H30" s="3"/>
      <c r="I30" s="14" t="s">
        <v>193</v>
      </c>
      <c r="J30" s="14">
        <v>0</v>
      </c>
      <c r="K30" s="19" t="s">
        <v>327</v>
      </c>
      <c r="L30" s="19"/>
      <c r="M30" s="19"/>
      <c r="N30" s="19"/>
      <c r="O30" s="116"/>
      <c r="P30" s="140"/>
      <c r="Q30" s="3"/>
      <c r="R30" s="5"/>
      <c r="S30" s="3"/>
    </row>
    <row r="31" spans="1:31" x14ac:dyDescent="0.2">
      <c r="A31" s="14" t="s">
        <v>149</v>
      </c>
      <c r="B31" s="14" t="s">
        <v>44</v>
      </c>
      <c r="C31" s="14">
        <v>5</v>
      </c>
      <c r="D31" s="3"/>
      <c r="E31" s="3"/>
      <c r="F31" s="3"/>
      <c r="G31" s="3"/>
      <c r="H31" s="3"/>
      <c r="I31" s="14" t="s">
        <v>149</v>
      </c>
      <c r="J31" s="14">
        <v>5</v>
      </c>
      <c r="K31" s="19" t="s">
        <v>109</v>
      </c>
      <c r="L31" s="19"/>
      <c r="M31" s="19"/>
      <c r="N31" s="19"/>
      <c r="O31" s="116"/>
      <c r="P31" s="140">
        <v>5.7828182324423478E-3</v>
      </c>
      <c r="Q31" s="175">
        <f>P31*$C31</f>
        <v>2.891409116221174E-2</v>
      </c>
      <c r="R31" s="196">
        <f>0.01445*(66.333/108.333)</f>
        <v>8.8478289163966654E-3</v>
      </c>
      <c r="S31" s="175">
        <f>R31*J31</f>
        <v>4.4239144581983331E-2</v>
      </c>
      <c r="T31" s="176">
        <f>P31/R31</f>
        <v>0.65358612684358242</v>
      </c>
      <c r="U31" s="3"/>
      <c r="V31" s="152">
        <v>5.8418201810300861E-3</v>
      </c>
      <c r="W31" s="175">
        <f>V31*$C31</f>
        <v>2.9209100905150429E-2</v>
      </c>
      <c r="X31" s="196">
        <f>0.01445*(78/108.333)</f>
        <v>1.0404032012406191E-2</v>
      </c>
      <c r="Y31" s="175">
        <f>X31*$J31</f>
        <v>5.202016006203096E-2</v>
      </c>
      <c r="Z31" s="176">
        <f>V31/X31</f>
        <v>0.56149579067654365</v>
      </c>
    </row>
    <row r="32" spans="1:31" x14ac:dyDescent="0.2">
      <c r="A32" s="14" t="s">
        <v>13</v>
      </c>
      <c r="B32" s="14" t="s">
        <v>292</v>
      </c>
      <c r="C32" s="14">
        <v>0</v>
      </c>
      <c r="D32" s="3"/>
      <c r="E32" s="3"/>
      <c r="F32" s="3"/>
      <c r="G32" s="3"/>
      <c r="H32" s="3"/>
      <c r="I32" s="14" t="s">
        <v>13</v>
      </c>
      <c r="J32" s="14">
        <v>0</v>
      </c>
      <c r="K32" s="19" t="s">
        <v>109</v>
      </c>
      <c r="L32" s="19"/>
      <c r="M32" s="19"/>
      <c r="N32" s="19"/>
      <c r="O32" s="116">
        <v>3.07</v>
      </c>
      <c r="P32" s="140"/>
      <c r="Q32" s="3"/>
      <c r="R32" s="5"/>
      <c r="S32" s="3"/>
      <c r="T32" s="3"/>
      <c r="U32" s="3"/>
    </row>
    <row r="33" spans="1:32" x14ac:dyDescent="0.2">
      <c r="A33" s="14" t="s">
        <v>256</v>
      </c>
      <c r="B33" s="14" t="s">
        <v>327</v>
      </c>
      <c r="C33" s="14">
        <v>0</v>
      </c>
      <c r="D33" s="3"/>
      <c r="E33" s="3"/>
      <c r="F33" s="3"/>
      <c r="G33" s="3"/>
      <c r="H33" s="3"/>
      <c r="I33" s="14" t="s">
        <v>256</v>
      </c>
      <c r="J33" s="14">
        <v>0</v>
      </c>
      <c r="K33" s="19" t="s">
        <v>327</v>
      </c>
      <c r="L33" s="19"/>
      <c r="M33" s="19"/>
      <c r="N33" s="19"/>
      <c r="O33" s="116"/>
      <c r="P33" s="140"/>
      <c r="Q33" s="3"/>
      <c r="R33" s="5"/>
      <c r="S33" s="3"/>
      <c r="T33" s="3"/>
      <c r="U33" s="3"/>
    </row>
    <row r="34" spans="1:32" x14ac:dyDescent="0.2">
      <c r="A34" s="14" t="s">
        <v>257</v>
      </c>
      <c r="B34" s="14" t="s">
        <v>112</v>
      </c>
      <c r="C34" s="14">
        <v>0</v>
      </c>
      <c r="D34" s="3"/>
      <c r="E34" s="3"/>
      <c r="F34" s="3"/>
      <c r="G34" s="3"/>
      <c r="H34" s="3"/>
      <c r="I34" s="14" t="s">
        <v>257</v>
      </c>
      <c r="J34" s="14">
        <v>0</v>
      </c>
      <c r="K34" s="14" t="s">
        <v>112</v>
      </c>
      <c r="L34" s="19"/>
      <c r="M34" s="19"/>
      <c r="N34" s="19"/>
      <c r="O34" s="116">
        <v>1.79</v>
      </c>
      <c r="P34" s="290"/>
      <c r="Q34" s="291"/>
      <c r="R34" s="291"/>
      <c r="S34" s="291"/>
      <c r="T34" s="291"/>
      <c r="U34" s="3"/>
      <c r="W34" s="291"/>
      <c r="X34" s="291"/>
      <c r="Y34" s="291"/>
      <c r="Z34" s="292"/>
    </row>
    <row r="35" spans="1:32" x14ac:dyDescent="0.2">
      <c r="A35" s="14" t="s">
        <v>55</v>
      </c>
      <c r="B35" s="43" t="s">
        <v>258</v>
      </c>
      <c r="C35" s="83">
        <v>0</v>
      </c>
      <c r="D35" s="109"/>
      <c r="E35" s="109"/>
      <c r="F35" s="109"/>
      <c r="G35" s="109"/>
      <c r="H35" s="3"/>
      <c r="I35" s="83" t="s">
        <v>55</v>
      </c>
      <c r="J35" s="83">
        <v>0</v>
      </c>
      <c r="K35" s="108" t="s">
        <v>265</v>
      </c>
      <c r="L35" s="108"/>
      <c r="M35" s="108"/>
      <c r="N35" s="19"/>
      <c r="O35" s="303"/>
      <c r="P35" s="304"/>
      <c r="Q35" s="109"/>
      <c r="R35" s="107"/>
      <c r="S35" s="109"/>
      <c r="T35" s="3"/>
      <c r="U35" s="3"/>
      <c r="V35" s="304"/>
      <c r="W35" s="109"/>
      <c r="X35" s="109"/>
      <c r="Y35" s="109"/>
    </row>
    <row r="36" spans="1:32" x14ac:dyDescent="0.2">
      <c r="A36" s="3" t="s">
        <v>56</v>
      </c>
      <c r="B36" s="3" t="s">
        <v>327</v>
      </c>
      <c r="C36" s="14">
        <v>2</v>
      </c>
      <c r="D36" s="3">
        <v>3800</v>
      </c>
      <c r="E36" s="28">
        <v>0</v>
      </c>
      <c r="F36" s="28">
        <f>C36*D36/365</f>
        <v>20.82191780821918</v>
      </c>
      <c r="G36" s="28">
        <f t="shared" si="1"/>
        <v>0</v>
      </c>
      <c r="H36" s="28"/>
      <c r="I36" s="3" t="s">
        <v>56</v>
      </c>
      <c r="J36" s="3">
        <f>2*1.0684</f>
        <v>2.1368</v>
      </c>
      <c r="K36" s="3" t="s">
        <v>327</v>
      </c>
      <c r="L36" s="28">
        <f>$J36*D36/365</f>
        <v>22.246136986301369</v>
      </c>
      <c r="M36" s="28">
        <f>$J36*E36/365</f>
        <v>0</v>
      </c>
      <c r="N36" s="3"/>
      <c r="O36" s="116" t="s">
        <v>102</v>
      </c>
      <c r="P36" s="140">
        <v>2.139691261574074E-2</v>
      </c>
      <c r="Q36" s="175">
        <f>P36*$C36</f>
        <v>4.279382523148148E-2</v>
      </c>
      <c r="R36" s="172">
        <v>2.2951996300949355E-2</v>
      </c>
      <c r="S36" s="174">
        <f>R36*$J36</f>
        <v>4.9043825695868584E-2</v>
      </c>
      <c r="T36" s="176">
        <f>P36/R36</f>
        <v>0.93224625584554088</v>
      </c>
      <c r="U36" s="3"/>
      <c r="V36" s="152">
        <v>3.3181749212443393E-2</v>
      </c>
      <c r="W36" s="175">
        <f>V36*$C36</f>
        <v>6.6363498424886785E-2</v>
      </c>
      <c r="X36" s="170">
        <v>2.1255343416666666E-2</v>
      </c>
      <c r="Y36" s="174">
        <f>X36*$J36</f>
        <v>4.5418417812733335E-2</v>
      </c>
      <c r="Z36" s="176">
        <f>V36/X36</f>
        <v>1.5611015339524006</v>
      </c>
    </row>
    <row r="37" spans="1:32" x14ac:dyDescent="0.2">
      <c r="A37" s="3"/>
      <c r="B37" s="3"/>
      <c r="C37" s="3"/>
      <c r="D37" s="3"/>
      <c r="E37" s="3"/>
      <c r="F37" s="3"/>
      <c r="G37" s="3"/>
      <c r="H37" s="3"/>
      <c r="I37" s="3"/>
      <c r="J37" s="3"/>
      <c r="K37" s="3"/>
      <c r="L37" s="3"/>
      <c r="M37" s="3"/>
      <c r="N37" s="3"/>
    </row>
    <row r="38" spans="1:32" x14ac:dyDescent="0.2">
      <c r="A38" s="21"/>
      <c r="B38" s="21"/>
      <c r="C38" s="22" t="s">
        <v>260</v>
      </c>
      <c r="D38" s="21"/>
      <c r="E38" s="21"/>
      <c r="F38" s="21">
        <f>SUM(F9:F36)+F36</f>
        <v>1942.2684931506849</v>
      </c>
      <c r="G38" s="21">
        <f>SUM(G9:G36)</f>
        <v>80.76986301369864</v>
      </c>
      <c r="H38" s="21"/>
      <c r="I38" s="22" t="s">
        <v>260</v>
      </c>
      <c r="J38" s="21"/>
      <c r="K38" s="3"/>
      <c r="L38" s="21">
        <f>SUM(L9:L29)+L36</f>
        <v>1941.8894161025187</v>
      </c>
      <c r="M38" s="21">
        <f>SUM(M9:M36)</f>
        <v>83.32575310649581</v>
      </c>
      <c r="N38" s="3"/>
    </row>
    <row r="39" spans="1:32" x14ac:dyDescent="0.2">
      <c r="I39" s="3"/>
      <c r="J39" s="3"/>
      <c r="K39" s="3"/>
      <c r="L39" s="3"/>
      <c r="M39" s="3"/>
      <c r="N39" s="3"/>
      <c r="O39" s="300" t="s">
        <v>417</v>
      </c>
      <c r="P39" s="146"/>
      <c r="Q39" s="39" t="s">
        <v>85</v>
      </c>
      <c r="R39" s="64"/>
      <c r="S39" s="121" t="s">
        <v>352</v>
      </c>
      <c r="T39" s="96" t="s">
        <v>289</v>
      </c>
      <c r="V39" s="151" t="s">
        <v>227</v>
      </c>
      <c r="W39" s="39" t="s">
        <v>228</v>
      </c>
      <c r="X39" s="64"/>
      <c r="Y39" s="121" t="s">
        <v>352</v>
      </c>
      <c r="Z39" s="96" t="s">
        <v>289</v>
      </c>
    </row>
    <row r="40" spans="1:32" x14ac:dyDescent="0.2">
      <c r="I40" s="3"/>
      <c r="J40" s="3"/>
      <c r="K40" s="3"/>
      <c r="L40" s="3"/>
      <c r="M40" s="3"/>
      <c r="N40" s="3"/>
      <c r="O40" s="116"/>
      <c r="P40" s="153" t="s">
        <v>355</v>
      </c>
      <c r="Q40" s="175">
        <f>SUM(Q10:Q36)</f>
        <v>1.0506078876634153</v>
      </c>
      <c r="R40" s="153" t="s">
        <v>355</v>
      </c>
      <c r="S40" s="197">
        <f>SUM(S12:S36)</f>
        <v>2.1006594819672815</v>
      </c>
      <c r="T40" s="3"/>
      <c r="U40" s="3"/>
      <c r="V40" s="153" t="s">
        <v>355</v>
      </c>
      <c r="W40" s="175">
        <f>SUM(W10:W36)</f>
        <v>2.0963482386270416</v>
      </c>
      <c r="X40" s="153" t="s">
        <v>355</v>
      </c>
      <c r="Y40" s="197">
        <f>SUM(Y12:Y36)</f>
        <v>2.4177477244320573</v>
      </c>
      <c r="Z40" s="3"/>
    </row>
    <row r="41" spans="1:32" x14ac:dyDescent="0.2">
      <c r="I41" s="3"/>
      <c r="J41" s="3"/>
      <c r="K41" s="3"/>
      <c r="L41" s="3"/>
      <c r="M41" s="3"/>
      <c r="N41" s="3"/>
      <c r="O41" s="116"/>
      <c r="P41" s="140"/>
      <c r="Q41" s="3"/>
      <c r="R41" s="64"/>
      <c r="S41" s="186"/>
      <c r="T41" s="64"/>
      <c r="X41" s="64"/>
      <c r="Y41" s="186"/>
      <c r="Z41" s="64"/>
      <c r="AB41" s="110" t="s">
        <v>410</v>
      </c>
    </row>
    <row r="42" spans="1:32" x14ac:dyDescent="0.2">
      <c r="I42" s="3"/>
      <c r="J42" s="28"/>
      <c r="K42" s="3"/>
      <c r="L42" s="28"/>
      <c r="M42" s="28"/>
      <c r="N42" s="28"/>
      <c r="O42" s="121" t="s">
        <v>88</v>
      </c>
      <c r="P42" s="177">
        <v>879.66666666666663</v>
      </c>
      <c r="Q42" s="3"/>
      <c r="R42" s="96"/>
      <c r="S42" s="3"/>
      <c r="T42" s="3"/>
      <c r="V42" s="153" t="s">
        <v>229</v>
      </c>
      <c r="W42" s="3">
        <v>4582.6000000000004</v>
      </c>
      <c r="X42" s="96"/>
      <c r="Z42" s="3"/>
      <c r="AB42" s="110">
        <f>4582.6/50.9</f>
        <v>90.031434184675845</v>
      </c>
      <c r="AD42" s="110" t="s">
        <v>414</v>
      </c>
      <c r="AE42" s="110">
        <f>5013/W44</f>
        <v>98.40796215229382</v>
      </c>
      <c r="AF42" s="110" t="s">
        <v>415</v>
      </c>
    </row>
    <row r="43" spans="1:32" x14ac:dyDescent="0.2">
      <c r="I43" s="3"/>
      <c r="J43" s="3"/>
      <c r="K43" s="3"/>
      <c r="L43" s="3"/>
      <c r="M43" s="3"/>
      <c r="N43" s="3"/>
      <c r="O43" s="96" t="s">
        <v>47</v>
      </c>
      <c r="P43" s="178">
        <f>P42*0.156503472222222</f>
        <v>137.67088773148129</v>
      </c>
      <c r="Q43" s="3"/>
      <c r="R43" s="96" t="s">
        <v>47</v>
      </c>
      <c r="S43" s="190">
        <v>1317.6409953593234</v>
      </c>
      <c r="T43" s="21"/>
      <c r="V43" s="96" t="s">
        <v>47</v>
      </c>
      <c r="W43" s="179">
        <f>W42*0.101541666666667</f>
        <v>465.32484166666825</v>
      </c>
      <c r="X43" s="96" t="s">
        <v>283</v>
      </c>
      <c r="Y43" s="190">
        <v>2274.8189921116241</v>
      </c>
      <c r="Z43" s="21"/>
    </row>
    <row r="44" spans="1:32" s="180" customFormat="1" x14ac:dyDescent="0.2">
      <c r="I44" s="181"/>
      <c r="J44" s="181"/>
      <c r="K44" s="181"/>
      <c r="L44" s="181"/>
      <c r="M44" s="181"/>
      <c r="N44" s="181"/>
      <c r="O44" s="182" t="s">
        <v>58</v>
      </c>
      <c r="P44" s="184">
        <v>39.250999999999998</v>
      </c>
      <c r="Q44" s="181"/>
      <c r="R44" s="182" t="s">
        <v>58</v>
      </c>
      <c r="S44" s="189">
        <v>36.881</v>
      </c>
      <c r="T44" s="181"/>
      <c r="V44" s="182" t="s">
        <v>284</v>
      </c>
      <c r="W44" s="185">
        <v>50.941000000000003</v>
      </c>
      <c r="X44" s="182" t="s">
        <v>284</v>
      </c>
      <c r="Y44" s="189">
        <v>45.426000000000002</v>
      </c>
      <c r="Z44" s="181"/>
      <c r="AB44" s="180" t="s">
        <v>411</v>
      </c>
    </row>
    <row r="45" spans="1:32" x14ac:dyDescent="0.2">
      <c r="O45" s="122" t="s">
        <v>239</v>
      </c>
      <c r="P45" s="187">
        <f>P43/P44</f>
        <v>3.5074491791669331</v>
      </c>
      <c r="Q45" s="3"/>
      <c r="R45" s="122" t="s">
        <v>239</v>
      </c>
      <c r="S45" s="190">
        <f>S43/S44</f>
        <v>35.726823984146939</v>
      </c>
      <c r="T45" s="191">
        <f>P45/S45</f>
        <v>9.8174110878797766E-2</v>
      </c>
      <c r="V45" s="122" t="s">
        <v>239</v>
      </c>
      <c r="W45" s="186">
        <f>W43/W44</f>
        <v>9.1345839631469392</v>
      </c>
      <c r="X45" s="122" t="s">
        <v>239</v>
      </c>
      <c r="Y45" s="190">
        <f>Y43/Y44</f>
        <v>50.077466475402282</v>
      </c>
      <c r="Z45" s="191">
        <f>W45/Y45</f>
        <v>0.1824090675121072</v>
      </c>
    </row>
    <row r="46" spans="1:32" x14ac:dyDescent="0.2">
      <c r="O46" s="122" t="s">
        <v>121</v>
      </c>
      <c r="P46" s="183">
        <f>P45/Q40</f>
        <v>3.3384949992785695</v>
      </c>
      <c r="Q46" s="3"/>
      <c r="R46" s="65" t="s">
        <v>121</v>
      </c>
      <c r="S46" s="198">
        <f>S45/S40</f>
        <v>17.007432328198444</v>
      </c>
      <c r="T46" s="191">
        <f>P46/S46</f>
        <v>0.19629623889452855</v>
      </c>
      <c r="V46" s="154" t="s">
        <v>303</v>
      </c>
      <c r="W46" s="188">
        <f>W45/W40</f>
        <v>4.3573790817929368</v>
      </c>
      <c r="X46" s="65" t="s">
        <v>303</v>
      </c>
      <c r="Y46" s="199">
        <f>Y45/Y40</f>
        <v>20.712444879734409</v>
      </c>
      <c r="Z46" s="191">
        <f>W46/Y46</f>
        <v>0.21037492710753375</v>
      </c>
    </row>
    <row r="47" spans="1:32" x14ac:dyDescent="0.2">
      <c r="Q47" s="3"/>
      <c r="S47" s="3"/>
    </row>
    <row r="48" spans="1:32" x14ac:dyDescent="0.2">
      <c r="Q48" s="3"/>
      <c r="S48" s="3"/>
    </row>
    <row r="49" spans="1:35" x14ac:dyDescent="0.2">
      <c r="A49" s="24" t="s">
        <v>288</v>
      </c>
      <c r="B49" s="25"/>
      <c r="C49" s="25"/>
      <c r="D49" s="25"/>
      <c r="E49" s="25"/>
      <c r="F49" s="25"/>
      <c r="G49" s="25"/>
      <c r="H49" s="25"/>
      <c r="I49" s="25"/>
      <c r="J49" s="25"/>
      <c r="K49" s="25"/>
      <c r="L49" s="25"/>
      <c r="M49" s="25"/>
      <c r="N49" s="25"/>
      <c r="O49" s="123" t="s">
        <v>288</v>
      </c>
      <c r="P49" s="147"/>
      <c r="Q49" s="25"/>
      <c r="R49" s="25"/>
      <c r="S49" s="25"/>
      <c r="T49" s="25"/>
      <c r="U49" s="26"/>
      <c r="V49" s="155"/>
      <c r="W49" s="40"/>
      <c r="X49" s="62"/>
      <c r="Y49" s="24" t="s">
        <v>304</v>
      </c>
      <c r="Z49" s="25"/>
      <c r="AA49" s="25"/>
      <c r="AB49" s="63"/>
      <c r="AC49" s="27"/>
      <c r="AD49" s="63"/>
      <c r="AE49" s="27"/>
      <c r="AF49" s="24" t="s">
        <v>288</v>
      </c>
      <c r="AG49" s="25"/>
      <c r="AH49" s="62"/>
      <c r="AI49" s="27"/>
    </row>
    <row r="50" spans="1:35" x14ac:dyDescent="0.2">
      <c r="P50" s="3" t="s">
        <v>379</v>
      </c>
      <c r="S50" s="3"/>
      <c r="V50" s="152" t="s">
        <v>413</v>
      </c>
      <c r="W50" s="3" t="s">
        <v>412</v>
      </c>
      <c r="X50" s="3" t="s">
        <v>380</v>
      </c>
    </row>
    <row r="51" spans="1:35" x14ac:dyDescent="0.2">
      <c r="C51" s="114" t="s">
        <v>220</v>
      </c>
      <c r="O51" s="116" t="s">
        <v>161</v>
      </c>
      <c r="P51" s="140"/>
      <c r="Q51" s="3" t="s">
        <v>87</v>
      </c>
      <c r="R51" s="3" t="s">
        <v>297</v>
      </c>
      <c r="S51" s="3"/>
      <c r="T51" s="110" t="s">
        <v>81</v>
      </c>
      <c r="X51" s="3" t="s">
        <v>238</v>
      </c>
    </row>
    <row r="52" spans="1:35" x14ac:dyDescent="0.2">
      <c r="C52" s="110" t="s">
        <v>419</v>
      </c>
      <c r="O52" s="119" t="s">
        <v>296</v>
      </c>
      <c r="P52" s="144"/>
      <c r="Q52" s="3" t="s">
        <v>87</v>
      </c>
      <c r="R52" s="3" t="s">
        <v>298</v>
      </c>
      <c r="S52" s="3"/>
      <c r="T52" s="110" t="s">
        <v>81</v>
      </c>
    </row>
    <row r="53" spans="1:35" x14ac:dyDescent="0.2">
      <c r="C53" s="110" t="s">
        <v>222</v>
      </c>
      <c r="O53" s="186" t="s">
        <v>418</v>
      </c>
      <c r="Q53" s="3" t="s">
        <v>87</v>
      </c>
      <c r="R53" s="3" t="s">
        <v>299</v>
      </c>
      <c r="S53" s="3"/>
      <c r="T53" s="110" t="s">
        <v>81</v>
      </c>
      <c r="X53" s="110" t="s">
        <v>313</v>
      </c>
      <c r="Y53" s="110"/>
      <c r="Z53" s="110" t="s">
        <v>81</v>
      </c>
    </row>
    <row r="54" spans="1:35" x14ac:dyDescent="0.2">
      <c r="C54" s="110" t="s">
        <v>221</v>
      </c>
      <c r="P54" s="140" t="s">
        <v>158</v>
      </c>
      <c r="Q54" s="3" t="s">
        <v>87</v>
      </c>
      <c r="R54" s="3" t="s">
        <v>339</v>
      </c>
      <c r="S54" s="3"/>
      <c r="T54" s="110" t="s">
        <v>81</v>
      </c>
      <c r="X54" s="110" t="s">
        <v>250</v>
      </c>
      <c r="Y54" s="167">
        <f>(8/240)</f>
        <v>3.3333333333333333E-2</v>
      </c>
      <c r="Z54" s="110" t="s">
        <v>251</v>
      </c>
    </row>
    <row r="55" spans="1:35" x14ac:dyDescent="0.2">
      <c r="C55" s="110" t="s">
        <v>420</v>
      </c>
      <c r="P55" s="141" t="s">
        <v>230</v>
      </c>
      <c r="Q55" s="3" t="s">
        <v>87</v>
      </c>
      <c r="R55" s="3"/>
      <c r="S55" s="3"/>
      <c r="T55" s="110" t="s">
        <v>81</v>
      </c>
      <c r="X55" s="110" t="s">
        <v>252</v>
      </c>
      <c r="Y55" s="167">
        <f>2.20453*Y54</f>
        <v>7.3484333333333332E-2</v>
      </c>
      <c r="Z55" s="110" t="s">
        <v>253</v>
      </c>
    </row>
    <row r="56" spans="1:35" x14ac:dyDescent="0.2">
      <c r="Q56" s="3" t="s">
        <v>87</v>
      </c>
      <c r="R56" s="3" t="s">
        <v>329</v>
      </c>
      <c r="S56" s="3"/>
      <c r="T56" s="110" t="s">
        <v>81</v>
      </c>
      <c r="X56" s="3" t="s">
        <v>144</v>
      </c>
      <c r="Y56" s="110" t="s">
        <v>143</v>
      </c>
      <c r="Z56" s="3"/>
    </row>
    <row r="57" spans="1:35" x14ac:dyDescent="0.2">
      <c r="P57" s="141" t="s">
        <v>130</v>
      </c>
      <c r="Q57" s="3" t="s">
        <v>87</v>
      </c>
      <c r="R57" s="3" t="s">
        <v>280</v>
      </c>
      <c r="S57" s="3"/>
      <c r="T57" s="110" t="s">
        <v>81</v>
      </c>
      <c r="X57" s="3" t="s">
        <v>140</v>
      </c>
      <c r="Y57" s="110" t="s">
        <v>143</v>
      </c>
      <c r="Z57" s="3"/>
    </row>
    <row r="58" spans="1:35" x14ac:dyDescent="0.2">
      <c r="P58" s="141" t="s">
        <v>202</v>
      </c>
      <c r="Q58" s="3" t="s">
        <v>87</v>
      </c>
      <c r="R58" s="3" t="s">
        <v>353</v>
      </c>
      <c r="S58" s="3"/>
      <c r="T58" s="110" t="s">
        <v>81</v>
      </c>
      <c r="X58" s="3" t="s">
        <v>141</v>
      </c>
      <c r="Y58" s="110" t="s">
        <v>143</v>
      </c>
      <c r="Z58" s="3"/>
    </row>
    <row r="59" spans="1:35" x14ac:dyDescent="0.2">
      <c r="P59" s="141" t="s">
        <v>203</v>
      </c>
      <c r="Q59" s="3" t="s">
        <v>87</v>
      </c>
      <c r="R59" s="3" t="s">
        <v>354</v>
      </c>
      <c r="S59" s="3"/>
      <c r="T59" s="110" t="s">
        <v>81</v>
      </c>
      <c r="X59" s="3" t="s">
        <v>142</v>
      </c>
      <c r="Y59" s="110" t="s">
        <v>143</v>
      </c>
      <c r="Z59" s="3"/>
    </row>
    <row r="60" spans="1:35" x14ac:dyDescent="0.2">
      <c r="P60" s="141" t="s">
        <v>204</v>
      </c>
      <c r="Q60" s="3" t="s">
        <v>87</v>
      </c>
      <c r="R60" s="3" t="s">
        <v>268</v>
      </c>
      <c r="S60" s="3"/>
      <c r="T60" s="110" t="s">
        <v>81</v>
      </c>
      <c r="X60" s="3" t="s">
        <v>359</v>
      </c>
      <c r="Y60" s="171">
        <f>Y55*1.105747</f>
        <v>8.1255081130333334E-2</v>
      </c>
      <c r="Z60" s="3" t="s">
        <v>360</v>
      </c>
    </row>
    <row r="61" spans="1:35" x14ac:dyDescent="0.2">
      <c r="P61" s="141" t="s">
        <v>205</v>
      </c>
      <c r="Q61" s="3" t="s">
        <v>87</v>
      </c>
      <c r="R61" s="3"/>
      <c r="S61" s="3"/>
      <c r="T61" s="110" t="s">
        <v>81</v>
      </c>
    </row>
    <row r="62" spans="1:35" x14ac:dyDescent="0.2">
      <c r="P62" s="141" t="s">
        <v>206</v>
      </c>
      <c r="Q62" s="3" t="s">
        <v>87</v>
      </c>
      <c r="R62" s="3" t="s">
        <v>272</v>
      </c>
      <c r="S62" s="3"/>
      <c r="T62" s="110" t="s">
        <v>81</v>
      </c>
      <c r="X62" s="3" t="s">
        <v>77</v>
      </c>
    </row>
    <row r="63" spans="1:35" x14ac:dyDescent="0.2">
      <c r="Q63" s="3" t="s">
        <v>87</v>
      </c>
      <c r="R63" s="3" t="s">
        <v>197</v>
      </c>
      <c r="S63" s="3"/>
      <c r="T63" s="110" t="s">
        <v>81</v>
      </c>
      <c r="X63" s="3" t="s">
        <v>381</v>
      </c>
    </row>
    <row r="64" spans="1:35" x14ac:dyDescent="0.2">
      <c r="Q64" s="3" t="s">
        <v>87</v>
      </c>
      <c r="R64" s="3"/>
      <c r="S64" s="3"/>
      <c r="T64" s="110" t="s">
        <v>81</v>
      </c>
      <c r="X64" s="3" t="s">
        <v>358</v>
      </c>
      <c r="Y64" s="170">
        <f>Y60/4</f>
        <v>2.0313770282583334E-2</v>
      </c>
      <c r="Z64" s="3" t="s">
        <v>360</v>
      </c>
    </row>
    <row r="65" spans="16:25" x14ac:dyDescent="0.2">
      <c r="P65" s="141" t="s">
        <v>377</v>
      </c>
      <c r="Q65" s="3" t="s">
        <v>87</v>
      </c>
      <c r="R65" s="3" t="s">
        <v>198</v>
      </c>
      <c r="S65" s="3"/>
    </row>
    <row r="66" spans="16:25" x14ac:dyDescent="0.2">
      <c r="Q66" s="3" t="s">
        <v>87</v>
      </c>
      <c r="R66" s="3" t="s">
        <v>338</v>
      </c>
      <c r="S66" s="173">
        <v>2.2951996300949355E-2</v>
      </c>
      <c r="T66" s="110" t="s">
        <v>361</v>
      </c>
      <c r="X66" s="3" t="s">
        <v>278</v>
      </c>
      <c r="Y66" s="3" t="s">
        <v>80</v>
      </c>
    </row>
    <row r="67" spans="16:25" x14ac:dyDescent="0.2">
      <c r="Q67" s="110" t="s">
        <v>378</v>
      </c>
      <c r="R67" s="3"/>
      <c r="S67" s="3"/>
      <c r="T67" s="110" t="s">
        <v>80</v>
      </c>
      <c r="X67" s="3" t="s">
        <v>207</v>
      </c>
      <c r="Y67" s="3" t="s">
        <v>80</v>
      </c>
    </row>
    <row r="68" spans="16:25" x14ac:dyDescent="0.2">
      <c r="Q68" s="110" t="s">
        <v>378</v>
      </c>
      <c r="R68" s="3" t="s">
        <v>278</v>
      </c>
      <c r="S68" s="3"/>
      <c r="T68" s="110" t="s">
        <v>80</v>
      </c>
      <c r="X68" s="3" t="s">
        <v>277</v>
      </c>
      <c r="Y68" s="3" t="s">
        <v>80</v>
      </c>
    </row>
    <row r="69" spans="16:25" x14ac:dyDescent="0.2">
      <c r="Q69" s="110" t="s">
        <v>378</v>
      </c>
      <c r="R69" s="3" t="s">
        <v>207</v>
      </c>
      <c r="S69" s="3"/>
      <c r="T69" s="110" t="s">
        <v>80</v>
      </c>
      <c r="X69" s="3" t="s">
        <v>78</v>
      </c>
      <c r="Y69" s="3" t="s">
        <v>80</v>
      </c>
    </row>
    <row r="70" spans="16:25" x14ac:dyDescent="0.2">
      <c r="Q70" s="110" t="s">
        <v>378</v>
      </c>
      <c r="R70" s="3" t="s">
        <v>277</v>
      </c>
      <c r="S70" s="3"/>
      <c r="T70" s="110" t="s">
        <v>80</v>
      </c>
      <c r="X70" s="3" t="s">
        <v>79</v>
      </c>
      <c r="Y70" s="3" t="s">
        <v>80</v>
      </c>
    </row>
    <row r="71" spans="16:25" x14ac:dyDescent="0.2">
      <c r="Q71" s="110" t="s">
        <v>378</v>
      </c>
      <c r="R71" s="3" t="s">
        <v>78</v>
      </c>
      <c r="S71" s="3"/>
      <c r="T71" s="110" t="s">
        <v>80</v>
      </c>
      <c r="Y71" s="3" t="s">
        <v>80</v>
      </c>
    </row>
    <row r="72" spans="16:25" x14ac:dyDescent="0.2">
      <c r="Q72" s="110" t="s">
        <v>378</v>
      </c>
      <c r="R72" s="3" t="s">
        <v>270</v>
      </c>
      <c r="S72" s="3"/>
      <c r="T72" s="110" t="s">
        <v>80</v>
      </c>
      <c r="X72" s="3" t="s">
        <v>89</v>
      </c>
      <c r="Y72" s="3" t="s">
        <v>80</v>
      </c>
    </row>
    <row r="73" spans="16:25" x14ac:dyDescent="0.2">
      <c r="Q73" s="110" t="s">
        <v>378</v>
      </c>
      <c r="R73" s="3" t="s">
        <v>335</v>
      </c>
      <c r="S73" s="3"/>
      <c r="T73" s="110" t="s">
        <v>80</v>
      </c>
      <c r="Y73" s="3" t="s">
        <v>80</v>
      </c>
    </row>
    <row r="74" spans="16:25" x14ac:dyDescent="0.2">
      <c r="Q74" s="110" t="s">
        <v>378</v>
      </c>
      <c r="T74" s="110" t="s">
        <v>80</v>
      </c>
      <c r="Y74" s="3" t="s">
        <v>80</v>
      </c>
    </row>
    <row r="75" spans="16:25" x14ac:dyDescent="0.2">
      <c r="Q75" s="110" t="s">
        <v>378</v>
      </c>
      <c r="R75" s="3" t="s">
        <v>89</v>
      </c>
      <c r="T75" s="110" t="s">
        <v>80</v>
      </c>
    </row>
    <row r="76" spans="16:25" x14ac:dyDescent="0.2">
      <c r="Q76" s="110" t="s">
        <v>378</v>
      </c>
      <c r="T76" s="110" t="s">
        <v>80</v>
      </c>
    </row>
    <row r="77" spans="16:25" x14ac:dyDescent="0.2">
      <c r="Q77" s="110" t="s">
        <v>378</v>
      </c>
    </row>
  </sheetData>
  <phoneticPr fontId="1"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Sources and notes</vt:lpstr>
      <vt:lpstr>Summary comparisons</vt:lpstr>
      <vt:lpstr>Japan v Eng 1602-1648</vt:lpstr>
      <vt:lpstr>Japan vs GB 1713-1870</vt:lpstr>
      <vt:lpstr>Japan vs GB 1888-1912</vt:lpstr>
    </vt:vector>
  </TitlesOfParts>
  <Company>UC Davis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Lindert</dc:creator>
  <cp:lastModifiedBy>Microsoft Office User</cp:lastModifiedBy>
  <dcterms:created xsi:type="dcterms:W3CDTF">2016-03-17T02:24:00Z</dcterms:created>
  <dcterms:modified xsi:type="dcterms:W3CDTF">2016-12-03T04:05:47Z</dcterms:modified>
</cp:coreProperties>
</file>